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480" yWindow="2175" windowWidth="17490" windowHeight="8970" tabRatio="561"/>
  </bookViews>
  <sheets>
    <sheet name="за 3 кв 2018" sheetId="8" r:id="rId1"/>
  </sheets>
  <definedNames>
    <definedName name="_xlnm.Print_Titles" localSheetId="0">'за 3 кв 2018'!$3:$4</definedName>
    <definedName name="_xlnm.Print_Area" localSheetId="0">'за 3 кв 2018'!$A$1:$U$157</definedName>
  </definedNames>
  <calcPr calcId="162913"/>
</workbook>
</file>

<file path=xl/calcChain.xml><?xml version="1.0" encoding="utf-8"?>
<calcChain xmlns="http://schemas.openxmlformats.org/spreadsheetml/2006/main">
  <c r="J62" i="8" l="1"/>
  <c r="M107" i="8" l="1"/>
  <c r="M112" i="8"/>
  <c r="K105" i="8"/>
  <c r="M114" i="8"/>
  <c r="R66" i="8" l="1"/>
  <c r="O66" i="8"/>
  <c r="L66" i="8"/>
  <c r="I66" i="8"/>
  <c r="F66" i="8"/>
  <c r="M140" i="8"/>
  <c r="M138" i="8"/>
  <c r="M137" i="8"/>
  <c r="M90" i="8" l="1"/>
  <c r="M89" i="8"/>
  <c r="F34" i="8" l="1"/>
  <c r="L16" i="8"/>
  <c r="K16" i="8"/>
  <c r="I16" i="8"/>
  <c r="H16" i="8"/>
  <c r="E16" i="8"/>
  <c r="E27" i="8"/>
  <c r="F27" i="8"/>
  <c r="G27" i="8" s="1"/>
  <c r="J27" i="8"/>
  <c r="M27" i="8"/>
  <c r="Q25" i="8"/>
  <c r="M22" i="8"/>
  <c r="J84" i="8" l="1"/>
  <c r="H80" i="8" l="1"/>
  <c r="E75" i="8"/>
  <c r="H66" i="8"/>
  <c r="J70" i="8"/>
  <c r="F42" i="8"/>
  <c r="E42" i="8"/>
  <c r="H39" i="8"/>
  <c r="J42" i="8"/>
  <c r="J10" i="8"/>
  <c r="G42" i="8" l="1"/>
  <c r="V68" i="8"/>
  <c r="V67" i="8"/>
  <c r="K89" i="8" l="1"/>
  <c r="F71" i="8" l="1"/>
  <c r="K133" i="8" l="1"/>
  <c r="L133" i="8"/>
  <c r="M133" i="8" s="1"/>
  <c r="S86" i="8" l="1"/>
  <c r="L147" i="8"/>
  <c r="R16" i="8"/>
  <c r="E156" i="8"/>
  <c r="F156" i="8"/>
  <c r="J156" i="8"/>
  <c r="M156" i="8"/>
  <c r="G156" i="8" l="1"/>
  <c r="R97" i="8"/>
  <c r="Q97" i="8"/>
  <c r="J34" i="8" l="1"/>
  <c r="F30" i="8"/>
  <c r="I88" i="8" l="1"/>
  <c r="K88" i="8"/>
  <c r="L88" i="8"/>
  <c r="N88" i="8"/>
  <c r="O88" i="8"/>
  <c r="Q88" i="8"/>
  <c r="R88" i="8"/>
  <c r="H88" i="8"/>
  <c r="F88" i="8" l="1"/>
  <c r="J88" i="8"/>
  <c r="M88" i="8"/>
  <c r="E88" i="8"/>
  <c r="H74" i="8"/>
  <c r="H35" i="8" l="1"/>
  <c r="I141" i="8" l="1"/>
  <c r="H141" i="8" l="1"/>
  <c r="H133" i="8"/>
  <c r="E135" i="8"/>
  <c r="E134" i="8"/>
  <c r="D134" i="8" l="1"/>
  <c r="J6" i="8"/>
  <c r="I39" i="8"/>
  <c r="J59" i="8"/>
  <c r="T157" i="8"/>
  <c r="U157" i="8"/>
  <c r="F132" i="8" l="1"/>
  <c r="I123" i="8"/>
  <c r="I52" i="8" l="1"/>
  <c r="E155" i="8" l="1"/>
  <c r="F155" i="8"/>
  <c r="J155" i="8"/>
  <c r="G155" i="8" l="1"/>
  <c r="O97" i="8"/>
  <c r="N97" i="8"/>
  <c r="V99" i="8" s="1"/>
  <c r="L97" i="8"/>
  <c r="K97" i="8"/>
  <c r="V98" i="8" s="1"/>
  <c r="I97" i="8"/>
  <c r="H97" i="8"/>
  <c r="E70" i="8"/>
  <c r="F70" i="8"/>
  <c r="I51" i="8"/>
  <c r="R51" i="8"/>
  <c r="O51" i="8"/>
  <c r="L39" i="8"/>
  <c r="Q28" i="8"/>
  <c r="E97" i="8" l="1"/>
  <c r="V96" i="8" s="1"/>
  <c r="V97" i="8"/>
  <c r="E6" i="8"/>
  <c r="F81" i="8" l="1"/>
  <c r="E153" i="8" l="1"/>
  <c r="M95" i="8" l="1"/>
  <c r="M93" i="8"/>
  <c r="M91" i="8"/>
  <c r="M147" i="8" l="1"/>
  <c r="J140" i="8"/>
  <c r="J134" i="8"/>
  <c r="M131" i="8"/>
  <c r="J73" i="8"/>
  <c r="J63" i="8"/>
  <c r="P61" i="8"/>
  <c r="J12" i="8"/>
  <c r="H52" i="8" l="1"/>
  <c r="F54" i="8" l="1"/>
  <c r="S149" i="8" l="1"/>
  <c r="F15" i="8" l="1"/>
  <c r="L5" i="8"/>
  <c r="I5" i="8"/>
  <c r="H5" i="8"/>
  <c r="F45" i="8"/>
  <c r="F46" i="8"/>
  <c r="F47" i="8"/>
  <c r="F48" i="8"/>
  <c r="F44" i="8"/>
  <c r="I43" i="8"/>
  <c r="E67" i="8"/>
  <c r="F72" i="8"/>
  <c r="F73" i="8"/>
  <c r="E73" i="8"/>
  <c r="F79" i="8"/>
  <c r="R80" i="8"/>
  <c r="P86" i="8"/>
  <c r="O80" i="8"/>
  <c r="L80" i="8"/>
  <c r="I80" i="8"/>
  <c r="L105" i="8"/>
  <c r="I105" i="8"/>
  <c r="F122" i="8"/>
  <c r="E122" i="8"/>
  <c r="I133" i="8"/>
  <c r="F140" i="8"/>
  <c r="F135" i="8"/>
  <c r="F136" i="8"/>
  <c r="F137" i="8"/>
  <c r="F138" i="8"/>
  <c r="F139" i="8"/>
  <c r="F134" i="8"/>
  <c r="R141" i="8"/>
  <c r="L141" i="8"/>
  <c r="F150" i="8"/>
  <c r="F151" i="8"/>
  <c r="F152" i="8"/>
  <c r="F153" i="8"/>
  <c r="F154" i="8"/>
  <c r="F133" i="8" l="1"/>
  <c r="F105" i="8"/>
  <c r="F80" i="8"/>
  <c r="F43" i="8"/>
  <c r="F97" i="8"/>
  <c r="P97" i="8"/>
  <c r="E18" i="8" l="1"/>
  <c r="M60" i="8" l="1"/>
  <c r="K80" i="8" l="1"/>
  <c r="E79" i="8"/>
  <c r="F50" i="8"/>
  <c r="E46" i="8"/>
  <c r="E47" i="8"/>
  <c r="E48" i="8"/>
  <c r="E45" i="8"/>
  <c r="E44" i="8"/>
  <c r="H43" i="8"/>
  <c r="K39" i="8"/>
  <c r="O39" i="8"/>
  <c r="R39" i="8"/>
  <c r="F37" i="8"/>
  <c r="F36" i="8"/>
  <c r="Q35" i="8"/>
  <c r="R35" i="8"/>
  <c r="N35" i="8"/>
  <c r="O35" i="8"/>
  <c r="L35" i="8"/>
  <c r="K35" i="8"/>
  <c r="I35" i="8"/>
  <c r="S30" i="8"/>
  <c r="R28" i="8"/>
  <c r="L28" i="8"/>
  <c r="K28" i="8"/>
  <c r="E29" i="8"/>
  <c r="H28" i="8"/>
  <c r="I28" i="8"/>
  <c r="F18" i="8"/>
  <c r="F19" i="8"/>
  <c r="F20" i="8"/>
  <c r="F21" i="8"/>
  <c r="F22" i="8"/>
  <c r="F23" i="8"/>
  <c r="F24" i="8"/>
  <c r="F25" i="8"/>
  <c r="F26" i="8"/>
  <c r="E19" i="8"/>
  <c r="E20" i="8"/>
  <c r="E21" i="8"/>
  <c r="E22" i="8"/>
  <c r="E23" i="8"/>
  <c r="E24" i="8"/>
  <c r="E25" i="8"/>
  <c r="E26" i="8"/>
  <c r="E15" i="8"/>
  <c r="J24" i="8"/>
  <c r="E17" i="8"/>
  <c r="F17" i="8"/>
  <c r="J122" i="8"/>
  <c r="N51" i="8"/>
  <c r="Q51" i="8"/>
  <c r="L52" i="8"/>
  <c r="L51" i="8" s="1"/>
  <c r="K52" i="8"/>
  <c r="H51" i="8"/>
  <c r="Q141" i="8"/>
  <c r="N141" i="8"/>
  <c r="K141" i="8"/>
  <c r="F77" i="8"/>
  <c r="F78" i="8"/>
  <c r="E77" i="8"/>
  <c r="E78" i="8"/>
  <c r="F16" i="8" l="1"/>
  <c r="M39" i="8"/>
  <c r="E28" i="8"/>
  <c r="F28" i="8"/>
  <c r="E43" i="8"/>
  <c r="E35" i="8"/>
  <c r="S28" i="8"/>
  <c r="J35" i="8"/>
  <c r="M35" i="8"/>
  <c r="S35" i="8" s="1"/>
  <c r="K51" i="8"/>
  <c r="M51" i="8" s="1"/>
  <c r="E52" i="8"/>
  <c r="F52" i="8"/>
  <c r="G24" i="8"/>
  <c r="J51" i="8"/>
  <c r="S51" i="8"/>
  <c r="P51" i="8"/>
  <c r="F6" i="8"/>
  <c r="F7" i="8"/>
  <c r="F8" i="8"/>
  <c r="F9" i="8"/>
  <c r="F10" i="8"/>
  <c r="F11" i="8"/>
  <c r="F12" i="8"/>
  <c r="F13" i="8"/>
  <c r="F14" i="8"/>
  <c r="P35" i="8" l="1"/>
  <c r="F108" i="8"/>
  <c r="F106" i="8"/>
  <c r="E142" i="8"/>
  <c r="F142" i="8"/>
  <c r="E147" i="8"/>
  <c r="F147" i="8"/>
  <c r="J147" i="8"/>
  <c r="E145" i="8"/>
  <c r="F145" i="8"/>
  <c r="M142" i="8"/>
  <c r="M143" i="8"/>
  <c r="G147" i="8" l="1"/>
  <c r="F49" i="8"/>
  <c r="J83" i="8"/>
  <c r="F35" i="8" l="1"/>
  <c r="J150" i="8" l="1"/>
  <c r="F61" i="8" l="1"/>
  <c r="E61" i="8"/>
  <c r="S61" i="8"/>
  <c r="J61" i="8"/>
  <c r="G61" i="8" l="1"/>
  <c r="E154" i="8"/>
  <c r="F103" i="8" l="1"/>
  <c r="F104" i="8"/>
  <c r="F102" i="8"/>
  <c r="E140" i="8" l="1"/>
  <c r="G140" i="8" s="1"/>
  <c r="E138" i="8"/>
  <c r="E137" i="8"/>
  <c r="F100" i="8" l="1"/>
  <c r="F99" i="8"/>
  <c r="F98" i="8"/>
  <c r="F148" i="8"/>
  <c r="J144" i="8"/>
  <c r="M144" i="8"/>
  <c r="F143" i="8"/>
  <c r="E33" i="8"/>
  <c r="L123" i="8" l="1"/>
  <c r="H123" i="8"/>
  <c r="J132" i="8"/>
  <c r="F131" i="8"/>
  <c r="E131" i="8"/>
  <c r="F129" i="8"/>
  <c r="F130" i="8"/>
  <c r="F127" i="8"/>
  <c r="E127" i="8"/>
  <c r="F126" i="8"/>
  <c r="F124" i="8"/>
  <c r="E124" i="8"/>
  <c r="F38" i="8"/>
  <c r="E94" i="8"/>
  <c r="F94" i="8"/>
  <c r="J94" i="8"/>
  <c r="F69" i="8"/>
  <c r="F68" i="8"/>
  <c r="F67" i="8"/>
  <c r="Q80" i="8"/>
  <c r="F87" i="8"/>
  <c r="F86" i="8"/>
  <c r="F84" i="8"/>
  <c r="L157" i="8" l="1"/>
  <c r="L158" i="8" s="1"/>
  <c r="S80" i="8"/>
  <c r="F123" i="8"/>
  <c r="G94" i="8"/>
  <c r="F83" i="8"/>
  <c r="F82" i="8"/>
  <c r="F56" i="8"/>
  <c r="M23" i="8" l="1"/>
  <c r="M25" i="8"/>
  <c r="H105" i="8"/>
  <c r="F117" i="8"/>
  <c r="F118" i="8"/>
  <c r="F119" i="8"/>
  <c r="F120" i="8"/>
  <c r="F121" i="8"/>
  <c r="F116" i="8"/>
  <c r="F115" i="8"/>
  <c r="F114" i="8"/>
  <c r="E105" i="8" l="1"/>
  <c r="F113" i="8"/>
  <c r="F112" i="8"/>
  <c r="F111" i="8"/>
  <c r="F110" i="8"/>
  <c r="F109" i="8"/>
  <c r="E108" i="8"/>
  <c r="F107" i="8"/>
  <c r="E104" i="8" l="1"/>
  <c r="E103" i="8"/>
  <c r="E102" i="8"/>
  <c r="E101" i="8"/>
  <c r="E100" i="8"/>
  <c r="E99" i="8"/>
  <c r="E98" i="8"/>
  <c r="E139" i="8"/>
  <c r="E136" i="8"/>
  <c r="P145" i="8"/>
  <c r="G88" i="8" l="1"/>
  <c r="F90" i="8"/>
  <c r="F91" i="8"/>
  <c r="F92" i="8"/>
  <c r="F93" i="8"/>
  <c r="F95" i="8"/>
  <c r="F96" i="8"/>
  <c r="E90" i="8"/>
  <c r="E91" i="8"/>
  <c r="E92" i="8"/>
  <c r="E93" i="8"/>
  <c r="E95" i="8"/>
  <c r="E96" i="8"/>
  <c r="F89" i="8"/>
  <c r="E89" i="8"/>
  <c r="E144" i="8"/>
  <c r="E146" i="8"/>
  <c r="E148" i="8"/>
  <c r="E143" i="8"/>
  <c r="F144" i="8"/>
  <c r="F146" i="8"/>
  <c r="H157" i="8"/>
  <c r="H158" i="8" s="1"/>
  <c r="Q16" i="8"/>
  <c r="F141" i="8" l="1"/>
  <c r="E141" i="8"/>
  <c r="G146" i="8"/>
  <c r="G91" i="8"/>
  <c r="G92" i="8"/>
  <c r="G144" i="8"/>
  <c r="E39" i="8"/>
  <c r="Q5" i="8" l="1"/>
  <c r="K5" i="8"/>
  <c r="O5" i="8"/>
  <c r="R5" i="8"/>
  <c r="R157" i="8" s="1"/>
  <c r="R158" i="8" s="1"/>
  <c r="M11" i="8"/>
  <c r="E53" i="8"/>
  <c r="F53" i="8"/>
  <c r="F5" i="8" l="1"/>
  <c r="E31" i="8"/>
  <c r="E55" i="8"/>
  <c r="E59" i="8" l="1"/>
  <c r="J115" i="8" l="1"/>
  <c r="J67" i="8" l="1"/>
  <c r="E36" i="8"/>
  <c r="O16" i="8" l="1"/>
  <c r="F29" i="8"/>
  <c r="F31" i="8"/>
  <c r="F32" i="8"/>
  <c r="F33" i="8"/>
  <c r="F40" i="8"/>
  <c r="F41" i="8"/>
  <c r="F55" i="8"/>
  <c r="F57" i="8"/>
  <c r="F58" i="8"/>
  <c r="F59" i="8"/>
  <c r="G59" i="8" s="1"/>
  <c r="F60" i="8"/>
  <c r="F62" i="8"/>
  <c r="F63" i="8"/>
  <c r="F64" i="8"/>
  <c r="F65" i="8"/>
  <c r="F85" i="8"/>
  <c r="F101" i="8"/>
  <c r="F125" i="8"/>
  <c r="F128" i="8"/>
  <c r="F149" i="8"/>
  <c r="K123" i="8"/>
  <c r="J92" i="8"/>
  <c r="N80" i="8"/>
  <c r="E80" i="8" s="1"/>
  <c r="S83" i="8"/>
  <c r="S84" i="8"/>
  <c r="Q66" i="8"/>
  <c r="E57" i="8"/>
  <c r="E54" i="8"/>
  <c r="E65" i="8"/>
  <c r="E152" i="8"/>
  <c r="E151" i="8"/>
  <c r="E150" i="8"/>
  <c r="E149" i="8"/>
  <c r="E132" i="8"/>
  <c r="E130" i="8"/>
  <c r="E128" i="8"/>
  <c r="E126" i="8"/>
  <c r="E125" i="8"/>
  <c r="E121" i="8"/>
  <c r="E120" i="8"/>
  <c r="E118" i="8"/>
  <c r="E116" i="8"/>
  <c r="E115" i="8"/>
  <c r="G115" i="8" s="1"/>
  <c r="E114" i="8"/>
  <c r="E113" i="8"/>
  <c r="E112" i="8"/>
  <c r="E111" i="8"/>
  <c r="E109" i="8"/>
  <c r="E107" i="8"/>
  <c r="E106" i="8"/>
  <c r="E87" i="8"/>
  <c r="E86" i="8"/>
  <c r="E84" i="8"/>
  <c r="E83" i="8"/>
  <c r="E82" i="8"/>
  <c r="E81" i="8"/>
  <c r="E72" i="8"/>
  <c r="E71" i="8"/>
  <c r="E69" i="8"/>
  <c r="E68" i="8"/>
  <c r="E64" i="8"/>
  <c r="E63" i="8"/>
  <c r="E62" i="8"/>
  <c r="E60" i="8"/>
  <c r="E58" i="8"/>
  <c r="E50" i="8"/>
  <c r="E49" i="8"/>
  <c r="E41" i="8"/>
  <c r="E40" i="8"/>
  <c r="E38" i="8"/>
  <c r="E37" i="8"/>
  <c r="E34" i="8"/>
  <c r="E30" i="8"/>
  <c r="E14" i="8"/>
  <c r="E13" i="8"/>
  <c r="E12" i="8"/>
  <c r="E11" i="8"/>
  <c r="E10" i="8"/>
  <c r="E9" i="8"/>
  <c r="E8" i="8"/>
  <c r="E7" i="8"/>
  <c r="J5" i="8"/>
  <c r="M5" i="8"/>
  <c r="N5" i="8"/>
  <c r="E5" i="8" s="1"/>
  <c r="M6" i="8"/>
  <c r="J7" i="8"/>
  <c r="M7" i="8"/>
  <c r="J9" i="8"/>
  <c r="M9" i="8"/>
  <c r="J11" i="8"/>
  <c r="M12" i="8"/>
  <c r="J13" i="8"/>
  <c r="M13" i="8"/>
  <c r="J14" i="8"/>
  <c r="J15" i="8"/>
  <c r="J17" i="8"/>
  <c r="M17" i="8"/>
  <c r="J18" i="8"/>
  <c r="M18" i="8"/>
  <c r="J19" i="8"/>
  <c r="J20" i="8"/>
  <c r="J21" i="8"/>
  <c r="J22" i="8"/>
  <c r="J23" i="8"/>
  <c r="J25" i="8"/>
  <c r="J29" i="8"/>
  <c r="M29" i="8"/>
  <c r="J30" i="8"/>
  <c r="M30" i="8"/>
  <c r="J31" i="8"/>
  <c r="M31" i="8"/>
  <c r="M33" i="8"/>
  <c r="J36" i="8"/>
  <c r="M36" i="8"/>
  <c r="J37" i="8"/>
  <c r="J38" i="8"/>
  <c r="J40" i="8"/>
  <c r="M40" i="8"/>
  <c r="J41" i="8"/>
  <c r="J44" i="8"/>
  <c r="J45" i="8"/>
  <c r="J46" i="8"/>
  <c r="J47" i="8"/>
  <c r="J48" i="8"/>
  <c r="J49" i="8"/>
  <c r="J50" i="8"/>
  <c r="J53" i="8"/>
  <c r="J54" i="8"/>
  <c r="J55" i="8"/>
  <c r="J56" i="8"/>
  <c r="J57" i="8"/>
  <c r="J60" i="8"/>
  <c r="J66" i="8"/>
  <c r="J68" i="8"/>
  <c r="J71" i="8"/>
  <c r="J72" i="8"/>
  <c r="J78" i="8"/>
  <c r="J79" i="8"/>
  <c r="J81" i="8"/>
  <c r="J82" i="8"/>
  <c r="J86" i="8"/>
  <c r="M86" i="8"/>
  <c r="J87" i="8"/>
  <c r="J89" i="8"/>
  <c r="J90" i="8"/>
  <c r="J91" i="8"/>
  <c r="J93" i="8"/>
  <c r="J95" i="8"/>
  <c r="J96" i="8"/>
  <c r="J98" i="8"/>
  <c r="J99" i="8"/>
  <c r="J100" i="8"/>
  <c r="J101" i="8"/>
  <c r="M101" i="8"/>
  <c r="J102" i="8"/>
  <c r="J103" i="8"/>
  <c r="M103" i="8"/>
  <c r="J104" i="8"/>
  <c r="J106" i="8"/>
  <c r="J107" i="8"/>
  <c r="J108" i="8"/>
  <c r="J109" i="8"/>
  <c r="J110" i="8"/>
  <c r="J111" i="8"/>
  <c r="J112" i="8"/>
  <c r="J113" i="8"/>
  <c r="J114" i="8"/>
  <c r="J116" i="8"/>
  <c r="J117" i="8"/>
  <c r="J118" i="8"/>
  <c r="J119" i="8"/>
  <c r="M119" i="8"/>
  <c r="J120" i="8"/>
  <c r="J121" i="8"/>
  <c r="N123" i="8"/>
  <c r="J124" i="8"/>
  <c r="M124" i="8"/>
  <c r="J125" i="8"/>
  <c r="J126" i="8"/>
  <c r="J127" i="8"/>
  <c r="J128" i="8"/>
  <c r="J129" i="8"/>
  <c r="J130" i="8"/>
  <c r="J131" i="8"/>
  <c r="N133" i="8"/>
  <c r="J135" i="8"/>
  <c r="J136" i="8"/>
  <c r="J137" i="8"/>
  <c r="J138" i="8"/>
  <c r="J139" i="8"/>
  <c r="J142" i="8"/>
  <c r="J143" i="8"/>
  <c r="J145" i="8"/>
  <c r="J146" i="8"/>
  <c r="J148" i="8"/>
  <c r="J149" i="8"/>
  <c r="J151" i="8"/>
  <c r="J153" i="8"/>
  <c r="M154" i="8"/>
  <c r="E66" i="8" l="1"/>
  <c r="V66" i="8" s="1"/>
  <c r="V69" i="8"/>
  <c r="M123" i="8"/>
  <c r="K157" i="8"/>
  <c r="K158" i="8" s="1"/>
  <c r="N157" i="8"/>
  <c r="N158" i="8" s="1"/>
  <c r="F51" i="8"/>
  <c r="P80" i="8"/>
  <c r="J39" i="8"/>
  <c r="E51" i="8"/>
  <c r="G141" i="8"/>
  <c r="G63" i="8"/>
  <c r="G64" i="8"/>
  <c r="F39" i="8"/>
  <c r="E123" i="8"/>
  <c r="G150" i="8"/>
  <c r="G132" i="8"/>
  <c r="M16" i="8"/>
  <c r="G5" i="8"/>
  <c r="G7" i="8"/>
  <c r="G6" i="8"/>
  <c r="M105" i="8"/>
  <c r="J97" i="8"/>
  <c r="M80" i="8"/>
  <c r="M28" i="8"/>
  <c r="M97" i="8"/>
  <c r="J133" i="8"/>
  <c r="J105" i="8"/>
  <c r="J80" i="8"/>
  <c r="J52" i="8"/>
  <c r="J43" i="8"/>
  <c r="J28" i="8"/>
  <c r="J16" i="8"/>
  <c r="J123" i="8"/>
  <c r="M157" i="8" l="1"/>
  <c r="G51" i="8"/>
  <c r="G52" i="8"/>
  <c r="P5" i="8"/>
  <c r="S5" i="8"/>
  <c r="S13" i="8"/>
  <c r="G9" i="8" l="1"/>
  <c r="P133" i="8"/>
  <c r="Q133" i="8"/>
  <c r="E133" i="8" s="1"/>
  <c r="Q157" i="8" l="1"/>
  <c r="Q158" i="8" s="1"/>
  <c r="S157" i="8" l="1"/>
  <c r="G11" i="8"/>
  <c r="G12" i="8" l="1"/>
  <c r="G13" i="8" l="1"/>
  <c r="S154" i="8"/>
  <c r="G14" i="8" l="1"/>
  <c r="G15" i="8" l="1"/>
  <c r="G17" i="8" l="1"/>
  <c r="G18" i="8" l="1"/>
  <c r="S71" i="8"/>
  <c r="P71" i="8"/>
  <c r="G19" i="8" l="1"/>
  <c r="P66" i="8"/>
  <c r="P67" i="8"/>
  <c r="S66" i="8"/>
  <c r="S25" i="8"/>
  <c r="G20" i="8" l="1"/>
  <c r="G21" i="8" l="1"/>
  <c r="G16" i="8"/>
  <c r="G22" i="8" l="1"/>
  <c r="G23" i="8" l="1"/>
  <c r="S145" i="8"/>
  <c r="S142" i="8"/>
  <c r="P69" i="8"/>
  <c r="S68" i="8"/>
  <c r="P68" i="8"/>
  <c r="S67" i="8"/>
  <c r="S15" i="8"/>
  <c r="G25" i="8" l="1"/>
  <c r="S16" i="8"/>
  <c r="G28" i="8" l="1"/>
  <c r="G29" i="8" l="1"/>
  <c r="G30" i="8" l="1"/>
  <c r="G31" i="8" l="1"/>
  <c r="G33" i="8" l="1"/>
  <c r="G34" i="8" l="1"/>
  <c r="G35" i="8" l="1"/>
  <c r="G36" i="8" l="1"/>
  <c r="G37" i="8" l="1"/>
  <c r="G38" i="8" l="1"/>
  <c r="G39" i="8" l="1"/>
  <c r="G40" i="8" l="1"/>
  <c r="G41" i="8" l="1"/>
  <c r="G43" i="8" l="1"/>
  <c r="G44" i="8" l="1"/>
  <c r="G45" i="8" l="1"/>
  <c r="G46" i="8" l="1"/>
  <c r="G47" i="8" l="1"/>
  <c r="G48" i="8" l="1"/>
  <c r="G49" i="8" l="1"/>
  <c r="G50" i="8" l="1"/>
  <c r="G53" i="8" l="1"/>
  <c r="G54" i="8" l="1"/>
  <c r="G55" i="8" l="1"/>
  <c r="G56" i="8" l="1"/>
  <c r="G57" i="8" l="1"/>
  <c r="G60" i="8" l="1"/>
  <c r="G66" i="8" l="1"/>
  <c r="G67" i="8" l="1"/>
  <c r="G68" i="8" l="1"/>
  <c r="G69" i="8" l="1"/>
  <c r="G71" i="8" l="1"/>
  <c r="G72" i="8" l="1"/>
  <c r="G73" i="8" l="1"/>
  <c r="G78" i="8" l="1"/>
  <c r="G79" i="8" l="1"/>
  <c r="G80" i="8" l="1"/>
  <c r="G81" i="8" l="1"/>
  <c r="G82" i="8" l="1"/>
  <c r="G83" i="8" l="1"/>
  <c r="G84" i="8" l="1"/>
  <c r="G86" i="8" l="1"/>
  <c r="G87" i="8" l="1"/>
  <c r="G89" i="8" l="1"/>
  <c r="G90" i="8" l="1"/>
  <c r="G93" i="8" l="1"/>
  <c r="G95" i="8" l="1"/>
  <c r="G96" i="8" l="1"/>
  <c r="G97" i="8" l="1"/>
  <c r="G98" i="8" l="1"/>
  <c r="G99" i="8" l="1"/>
  <c r="G100" i="8" l="1"/>
  <c r="G101" i="8" l="1"/>
  <c r="G102" i="8" l="1"/>
  <c r="G103" i="8" l="1"/>
  <c r="G104" i="8" l="1"/>
  <c r="G105" i="8" l="1"/>
  <c r="G106" i="8" l="1"/>
  <c r="G107" i="8" l="1"/>
  <c r="G108" i="8" l="1"/>
  <c r="G109" i="8" l="1"/>
  <c r="G110" i="8" l="1"/>
  <c r="G111" i="8" l="1"/>
  <c r="G112" i="8" l="1"/>
  <c r="G113" i="8" l="1"/>
  <c r="G114" i="8" l="1"/>
  <c r="G116" i="8" l="1"/>
  <c r="G117" i="8" l="1"/>
  <c r="G118" i="8" l="1"/>
  <c r="G119" i="8" l="1"/>
  <c r="G120" i="8" l="1"/>
  <c r="G121" i="8" l="1"/>
  <c r="G122" i="8" l="1"/>
  <c r="G123" i="8" l="1"/>
  <c r="G124" i="8" l="1"/>
  <c r="G125" i="8" l="1"/>
  <c r="G126" i="8" l="1"/>
  <c r="G127" i="8" l="1"/>
  <c r="G128" i="8" l="1"/>
  <c r="G129" i="8" l="1"/>
  <c r="G130" i="8" l="1"/>
  <c r="G131" i="8" l="1"/>
  <c r="G133" i="8" l="1"/>
  <c r="G134" i="8" l="1"/>
  <c r="G135" i="8" l="1"/>
  <c r="G136" i="8" l="1"/>
  <c r="G137" i="8" l="1"/>
  <c r="G138" i="8" l="1"/>
  <c r="G139" i="8" l="1"/>
  <c r="G142" i="8" l="1"/>
  <c r="G143" i="8" l="1"/>
  <c r="G145" i="8" l="1"/>
  <c r="G148" i="8" l="1"/>
  <c r="G149" i="8" l="1"/>
  <c r="G151" i="8" l="1"/>
  <c r="G153" i="8" l="1"/>
  <c r="G154" i="8" l="1"/>
  <c r="O141" i="8" l="1"/>
  <c r="O157" i="8" s="1"/>
  <c r="P157" i="8" l="1"/>
  <c r="O158" i="8"/>
  <c r="P141" i="8"/>
  <c r="M141" i="8"/>
  <c r="J141" i="8"/>
  <c r="S141" i="8"/>
  <c r="G77" i="8"/>
  <c r="J77" i="8"/>
  <c r="F76" i="8"/>
  <c r="J76" i="8"/>
  <c r="E76" i="8"/>
  <c r="E74" i="8" s="1"/>
  <c r="E157" i="8" s="1"/>
  <c r="E158" i="8" s="1"/>
  <c r="H159" i="8" s="1"/>
  <c r="K159" i="8" l="1"/>
  <c r="Q159" i="8"/>
  <c r="N159" i="8"/>
  <c r="G76" i="8"/>
  <c r="J75" i="8" l="1"/>
  <c r="F75" i="8"/>
  <c r="F74" i="8" s="1"/>
  <c r="I74" i="8"/>
  <c r="J74" i="8" s="1"/>
  <c r="I157" i="8" l="1"/>
  <c r="I158" i="8" s="1"/>
  <c r="G74" i="8"/>
  <c r="F157" i="8"/>
  <c r="G75" i="8"/>
  <c r="V74" i="8"/>
  <c r="J157" i="8" l="1"/>
  <c r="F158" i="8"/>
  <c r="G157" i="8"/>
  <c r="L159" i="8" l="1"/>
  <c r="O159" i="8"/>
  <c r="R159" i="8"/>
  <c r="I159" i="8"/>
</calcChain>
</file>

<file path=xl/sharedStrings.xml><?xml version="1.0" encoding="utf-8"?>
<sst xmlns="http://schemas.openxmlformats.org/spreadsheetml/2006/main" count="391" uniqueCount="363">
  <si>
    <t>Реквизиты  ГП</t>
  </si>
  <si>
    <t>Ответственное министерство</t>
  </si>
  <si>
    <t>Всего</t>
  </si>
  <si>
    <t>Федеральный бюджет</t>
  </si>
  <si>
    <t>Бюджет Республики Татарстан</t>
  </si>
  <si>
    <t>Местный бюджет</t>
  </si>
  <si>
    <t>Внебюджетные источники</t>
  </si>
  <si>
    <t>% финансирования</t>
  </si>
  <si>
    <t>Содействие занятости населения Республики Татарстан на 2014 - 2020  годы</t>
  </si>
  <si>
    <t>Экономическое развитие и инновационная экономика Республики  Татарстан  на 2014 - 2020 годы</t>
  </si>
  <si>
    <t>Развитие информационных и коммуникационных технологий в Республике Татарстан «Открытый Татарстан» на 2014 - 2020 годы</t>
  </si>
  <si>
    <t>Реализация государственной национальной политики в Республике Татарстан на 2014 - 2020 годы</t>
  </si>
  <si>
    <t>Развитие культуры Республики Татарстан на 2014 - 2020  годы</t>
  </si>
  <si>
    <t>План, 
тыс. руб.</t>
  </si>
  <si>
    <t>Факт, 
тыс. руб.</t>
  </si>
  <si>
    <t>Министерство сельского хозяйства и продовольствия РТ</t>
  </si>
  <si>
    <t>Министерство транспорта и дорожного хозяйства РТ</t>
  </si>
  <si>
    <t>Министерство здравоохранения РТ</t>
  </si>
  <si>
    <t>Министерство лесного хозяйства РТ</t>
  </si>
  <si>
    <t>Министерство финансов РТ</t>
  </si>
  <si>
    <t>Министерство труда, занятости и социальной защиты РТ</t>
  </si>
  <si>
    <t>Министерство юстиции РТ</t>
  </si>
  <si>
    <t>Министерство внутренних дел по РТ</t>
  </si>
  <si>
    <t>Министерство культуры РТ</t>
  </si>
  <si>
    <t>Министерство образования и науки РТ</t>
  </si>
  <si>
    <t>Министерство экономики РТ</t>
  </si>
  <si>
    <t>Министерство промышленности и торговли РТ</t>
  </si>
  <si>
    <t>Министерство экологии и природных ресурсов РТ</t>
  </si>
  <si>
    <t>Государственный комитет Республики Татарстан по туризму</t>
  </si>
  <si>
    <t>ПКМ РТ от 08.04.2013 № 235</t>
  </si>
  <si>
    <t>ПКМ РТ от 26.04.2013 № 283</t>
  </si>
  <si>
    <t>ПКМ РТ от 01.07.2013 № 461</t>
  </si>
  <si>
    <t>ПКМ РТ от 30.07.2013 № 531</t>
  </si>
  <si>
    <t>ПКМ РТ от 01.08.2013 № 545</t>
  </si>
  <si>
    <t>ПКМ РТ от 09.08.2013 № 553</t>
  </si>
  <si>
    <t>ПКМ РТ от 13.09.2013 № 656</t>
  </si>
  <si>
    <t>ПКМ РТ от 16.10.2013 № 764</t>
  </si>
  <si>
    <t>ПКМ РТ от 21.10.2013 № 785</t>
  </si>
  <si>
    <t>ПКМ РТ от 25.10.2013 № 794</t>
  </si>
  <si>
    <t>ПКМ РТ от 31.10.2013 № 823</t>
  </si>
  <si>
    <t>ПКМ РТ от 02.11.2013 № 837</t>
  </si>
  <si>
    <t>ПКМ РТ от 22.11.2013 № 910</t>
  </si>
  <si>
    <t>ПКМ РТ от 04.12.2013 №954</t>
  </si>
  <si>
    <t>ПКМ РТ от 17.12.2013 № 1000</t>
  </si>
  <si>
    <t>ПКМ РТ от 18.12.2013 № 1006</t>
  </si>
  <si>
    <t>ПКМ РТ от 20.12.2013 № 1012</t>
  </si>
  <si>
    <t>ПКМ РТ от 23.12.2013 № 1023</t>
  </si>
  <si>
    <t>ПКМ РТ от 28.12.2013 № 1083</t>
  </si>
  <si>
    <t>ПКМ РТ от 16.12.2013 № 997</t>
  </si>
  <si>
    <t>ПКМ РТ от 31.12.2013 № 1140</t>
  </si>
  <si>
    <t>ПКМ РТ от 07.02.2014 № 73</t>
  </si>
  <si>
    <t>ПКМ РТ от 22.02.2014 № 110</t>
  </si>
  <si>
    <t>ПКМ РТ от 30.04.2014 № 289</t>
  </si>
  <si>
    <t>Наименование ГП, подпрограммы</t>
  </si>
  <si>
    <t>8.1.</t>
  </si>
  <si>
    <t>8.2.</t>
  </si>
  <si>
    <t>8.3.</t>
  </si>
  <si>
    <t>8.4.</t>
  </si>
  <si>
    <t>15.1.</t>
  </si>
  <si>
    <t>15.2.</t>
  </si>
  <si>
    <t>15.3.</t>
  </si>
  <si>
    <t>15.4.</t>
  </si>
  <si>
    <t>Развитие дополнительного образования, включая образование детей-инвалидов, и повышение квалификации работников данной сферы на 2014-2020 годы</t>
  </si>
  <si>
    <t>Улучшение условий и охраны труда в Республике Татарстан на 2014-2020 годы</t>
  </si>
  <si>
    <t>Популяризация рабочих и инженерных профессий в Республике Татарстан на 2014-2020 годы</t>
  </si>
  <si>
    <t>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</si>
  <si>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Развитие государственно-частного партнерства</t>
  </si>
  <si>
    <t>Охрана здоровья матери и ребенка</t>
  </si>
  <si>
    <t>Развитие медицинской реабилитации и санаторно-курортного лечения, в том числе детям</t>
  </si>
  <si>
    <t>Кадровое обеспечение системы здравоохранения</t>
  </si>
  <si>
    <t>Совершенствование системы лекарственного обеспечения, в том числе в амбулаторных условиях</t>
  </si>
  <si>
    <t>Совершенствование системы территориального планирования Республики Татарстан</t>
  </si>
  <si>
    <t>Минстерство экономики Республики Татарстан</t>
  </si>
  <si>
    <t>Министерство промышленности и торговли Республики Татарстан</t>
  </si>
  <si>
    <t>Агентство инвестиционного развития Республики Татарстан</t>
  </si>
  <si>
    <t>Государственный комитет Республики Татарстан по закупкам</t>
  </si>
  <si>
    <t>Государственный комитет Республики Татарстан по тарифам</t>
  </si>
  <si>
    <t>Министерство строительства, архитектуры и ЖКХ Республики Татарстан</t>
  </si>
  <si>
    <t>Комитет Республики Татарстан по социально-экономическому мониторингу</t>
  </si>
  <si>
    <t>Совершенствование государственной политики в транспортном комплексе Республики Татарстан</t>
  </si>
  <si>
    <t>Сохранение, изучение и развитие народных художественных промыслов в Республике Татарстан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</si>
  <si>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 в 2014-2020 годах</t>
  </si>
  <si>
    <t>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2014-2020 годы</t>
  </si>
  <si>
    <t>18.1</t>
  </si>
  <si>
    <t>18.2</t>
  </si>
  <si>
    <t>18.3</t>
  </si>
  <si>
    <t>18.4</t>
  </si>
  <si>
    <t>18.5</t>
  </si>
  <si>
    <t>6.1</t>
  </si>
  <si>
    <t>6.2</t>
  </si>
  <si>
    <t>6.3</t>
  </si>
  <si>
    <t>23.1</t>
  </si>
  <si>
    <t>23.2</t>
  </si>
  <si>
    <t>23.3</t>
  </si>
  <si>
    <t>23.4</t>
  </si>
  <si>
    <t>23.5</t>
  </si>
  <si>
    <t>23.6</t>
  </si>
  <si>
    <t>17.1</t>
  </si>
  <si>
    <t>17.2</t>
  </si>
  <si>
    <t>17.3</t>
  </si>
  <si>
    <t>17.4</t>
  </si>
  <si>
    <t>17.5</t>
  </si>
  <si>
    <t>17.6</t>
  </si>
  <si>
    <t>17.7</t>
  </si>
  <si>
    <t>19</t>
  </si>
  <si>
    <t>19.1</t>
  </si>
  <si>
    <t>19.2</t>
  </si>
  <si>
    <t>19.3</t>
  </si>
  <si>
    <t>19.4</t>
  </si>
  <si>
    <t>19.5</t>
  </si>
  <si>
    <t>19.6</t>
  </si>
  <si>
    <t>19.7</t>
  </si>
  <si>
    <t>12</t>
  </si>
  <si>
    <t>12.1</t>
  </si>
  <si>
    <t>12.2</t>
  </si>
  <si>
    <t>12.3</t>
  </si>
  <si>
    <t>4.1</t>
  </si>
  <si>
    <t>4.2</t>
  </si>
  <si>
    <t>4.3</t>
  </si>
  <si>
    <t>4.4</t>
  </si>
  <si>
    <t>4.5</t>
  </si>
  <si>
    <t>24.1</t>
  </si>
  <si>
    <t>24.3</t>
  </si>
  <si>
    <t>24.4</t>
  </si>
  <si>
    <t>24.5</t>
  </si>
  <si>
    <t>1.2</t>
  </si>
  <si>
    <t>1.1</t>
  </si>
  <si>
    <t>1.3</t>
  </si>
  <si>
    <t>1.4</t>
  </si>
  <si>
    <t>1.5</t>
  </si>
  <si>
    <t>1.6</t>
  </si>
  <si>
    <t>1.7</t>
  </si>
  <si>
    <t>1.8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</si>
  <si>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</si>
  <si>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</si>
  <si>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</si>
  <si>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</si>
  <si>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</si>
  <si>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</si>
  <si>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</si>
  <si>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</si>
  <si>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</si>
  <si>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2</t>
  </si>
  <si>
    <t>7.1</t>
  </si>
  <si>
    <t>7.2</t>
  </si>
  <si>
    <t>11.2</t>
  </si>
  <si>
    <t>11.3</t>
  </si>
  <si>
    <t>ПКМ РТ от 21.07. 2014 г. № 522</t>
  </si>
  <si>
    <t xml:space="preserve">Развитие музейного дела на 2014-2020 годы </t>
  </si>
  <si>
    <t>Развитие театрального искусства на 2014-2020 годы</t>
  </si>
  <si>
    <t xml:space="preserve">Развитие библиотечного дела на 2014-2020 годы </t>
  </si>
  <si>
    <t xml:space="preserve"> Развитие  концертных  организаций  и исполнительского искусства на 2014 - 2020 годы</t>
  </si>
  <si>
    <t>Сохранение и развитие кинематографии на 2014 - 2020 годы</t>
  </si>
  <si>
    <t>Поддержка  народного   творчества. Сохранение,     возрождение      и      популяризация нематериального культурного наследия коренных народов Республики Татарстан на 2014 - 2020 годы</t>
  </si>
  <si>
    <t xml:space="preserve"> Сохранение, использование, популяризация  и  государственная   охрана   объектов культурного наследия (памятников истории и  культуры) на 2014 - 2020 годы</t>
  </si>
  <si>
    <t>Поддержка современного искусства на 2014 - 2020 годы</t>
  </si>
  <si>
    <t xml:space="preserve"> Развитие   кадрового   потенциала отрасли на 2014 - 2020 годы</t>
  </si>
  <si>
    <t>Развитие  системы  государственного управления отрасли на 2014 - 2020 годы</t>
  </si>
  <si>
    <t>20.1</t>
  </si>
  <si>
    <t>20.2</t>
  </si>
  <si>
    <t>20.3</t>
  </si>
  <si>
    <t>20.4</t>
  </si>
  <si>
    <t>20.5</t>
  </si>
  <si>
    <t>20.6</t>
  </si>
  <si>
    <t>20.7</t>
  </si>
  <si>
    <t>20.9</t>
  </si>
  <si>
    <t>20.10</t>
  </si>
  <si>
    <t>20.11</t>
  </si>
  <si>
    <t>20.12</t>
  </si>
  <si>
    <t>20.13</t>
  </si>
  <si>
    <t>20.14</t>
  </si>
  <si>
    <t>22.1</t>
  </si>
  <si>
    <t>22.3</t>
  </si>
  <si>
    <t>22.4</t>
  </si>
  <si>
    <t>22.5</t>
  </si>
  <si>
    <t>22.6</t>
  </si>
  <si>
    <t>26</t>
  </si>
  <si>
    <t xml:space="preserve">Министерство  юстиции РТ </t>
  </si>
  <si>
    <t>ПКМ РТ от 19.07. 2014 г. № 512</t>
  </si>
  <si>
    <t>3</t>
  </si>
  <si>
    <t>Стратегическое управление талантами в Республике Татарстан на 2015-2020 годы</t>
  </si>
  <si>
    <t>27</t>
  </si>
  <si>
    <t>28</t>
  </si>
  <si>
    <t>29</t>
  </si>
  <si>
    <t xml:space="preserve"> ПКМ РТ от 03.12.2014 № 943</t>
  </si>
  <si>
    <t>Повышение производительности труда на предприятиях Республики Татарстан на 2015 - 2020 годы</t>
  </si>
  <si>
    <t>Министерство по делам молодежи и спорту  РТ</t>
  </si>
  <si>
    <t>22.2</t>
  </si>
  <si>
    <t>24</t>
  </si>
  <si>
    <t>Развитие подотрасли растениеводства, переработки и реализации продукции растениеводства</t>
  </si>
  <si>
    <t>Развитие подотрасли животноводства, переработки и реализации продукции животноводства</t>
  </si>
  <si>
    <t>Развитие мясного скотоводства</t>
  </si>
  <si>
    <t>Поддержка малых форм хозяйствования</t>
  </si>
  <si>
    <t>Техническая и технологическая модернизация, инновационное развитие</t>
  </si>
  <si>
    <t>Обеспечение реализации Государственной программы</t>
  </si>
  <si>
    <t>Устойчивое развитие сельских территорий</t>
  </si>
  <si>
    <t>Развитие мелиорации земель сельскохозяйственного назначения</t>
  </si>
  <si>
    <t>Профилактика заболеваний и формирование здорового образа жизни. Развитие первичной медико-санитарной помощи</t>
  </si>
  <si>
    <t>Организация деятельности по профилактике правонарушений и преступлений в Республике Татарстан на 2014-2020 годы</t>
  </si>
  <si>
    <t>Повышение безопасности дорожного движения в Республике Татарстан на 2014-2020 годы</t>
  </si>
  <si>
    <t>Профилактика наркомании среди населения Республики Татарстан на 2014-2020 годы</t>
  </si>
  <si>
    <t>Развитие комплексной системы защиты прав потребителей в Республике Татарстан на 2014-2020 годы</t>
  </si>
  <si>
    <t xml:space="preserve">                                    Совершенствование государственной экономической политики в Республике Татарстан на 2014-2020 годы
</t>
  </si>
  <si>
    <t>Информационный Татарстан на 2014-2020 годы</t>
  </si>
  <si>
    <t>Развитие информационно-телекоммуникационной инфраструктуры на территории Республики Татарстан на 2014-2020 годы</t>
  </si>
  <si>
    <t>Развитие и совершенствование инфраструктуры информационного пространства Республики Татарстан на 2014-2020 годы</t>
  </si>
  <si>
    <t>Государственная поддержка развития экономической среды и человеческого капитала в сфере информационных технологий в Республике Татарстан на 2014-2020 годы</t>
  </si>
  <si>
    <t>Развитие   межрегионального   и межнационального культурного сотрудничества на 2014 -2020 годы</t>
  </si>
  <si>
    <t>Развитие транспортной системы Республики Татарстан на 2014 - 2022 годы</t>
  </si>
  <si>
    <t>Развитие железнодорожной инфраструктуры на 2014-2022 годы</t>
  </si>
  <si>
    <t>Развитие речного транспорта внутренних водных путей и речных портов на 2014-2022 годы</t>
  </si>
  <si>
    <t>Развитие воздушного транспорта и аэронавигации на 2014 - 2022 годы</t>
  </si>
  <si>
    <t>Развитие автомобильного, городского электрического транспорта, в том числе метро, на 2014-2022 годы</t>
  </si>
  <si>
    <t>Совершенствование, развитие и сохранение сети автомобильных дорог на 2014-2022 годы</t>
  </si>
  <si>
    <t>Развитие дошкольного образования, включая инклюзивное, и повышение квалификации работников данной сферы на 2014-2020 годы</t>
  </si>
  <si>
    <t>Развитие общего образования, включая инклюзивное, и повышение квалификации работников данной сферы на 2014-2020 годы</t>
  </si>
  <si>
    <t>Развитие профессионального и послевузовского образования и повышение квалификации работников данной сферы на 2014-2020 годы</t>
  </si>
  <si>
    <t>Развитие системы оценки качества образования на 2014-2020 годы</t>
  </si>
  <si>
    <t>Развитие науки и научных исследований в Республике Татарстан на 2014-2020 годы</t>
  </si>
  <si>
    <t>24.6</t>
  </si>
  <si>
    <t>Итого</t>
  </si>
  <si>
    <t>Развитие Камского инновационного территориально-производственного кластера на 2015-2018 годы</t>
  </si>
  <si>
    <t>Министерство по делам гражданской обороны и чрезвычай  ным ситуациям РТ</t>
  </si>
  <si>
    <t>Министерство земельных и имуществен  ных отношений РТ</t>
  </si>
  <si>
    <t>1.9</t>
  </si>
  <si>
    <t>23.7</t>
  </si>
  <si>
    <t>12.4</t>
  </si>
  <si>
    <t>22.7</t>
  </si>
  <si>
    <t>Подготовка к проведению в 2018 году чемпионата мира по футболу</t>
  </si>
  <si>
    <t>20.8</t>
  </si>
  <si>
    <t>Развитие   образования   в   сфере культуры и искусства на 2014 - 2020 годы</t>
  </si>
  <si>
    <t xml:space="preserve">Развитие рынка газомоторного топлива в Республике Татарстан на 2013 - 2023 годы </t>
  </si>
  <si>
    <t>Развитие рынка интеллектуальной собственности в Республике Татарстан на 2016 - 2020 годы</t>
  </si>
  <si>
    <t>Развитие товарной аквакультуры (товарного рыбоводства) в Республике Татарстан на 2016 - 2020 годы</t>
  </si>
  <si>
    <t>ПКМ РТ  от       28.12.2015        № 991</t>
  </si>
  <si>
    <t>8.5.</t>
  </si>
  <si>
    <t>11.6.</t>
  </si>
  <si>
    <t>11.5.</t>
  </si>
  <si>
    <t>11.4.</t>
  </si>
  <si>
    <t>11.1.</t>
  </si>
  <si>
    <t>22.8.</t>
  </si>
  <si>
    <t>22.9.</t>
  </si>
  <si>
    <t>Министерство строительства, архитектуры и ЖКХ РТ</t>
  </si>
  <si>
    <t>Министерство информатизации и связи РТ</t>
  </si>
  <si>
    <t>11.7.</t>
  </si>
  <si>
    <t>30</t>
  </si>
  <si>
    <t>31</t>
  </si>
  <si>
    <t>Развитие обрабатывающих отраслей промышленности Республики Татарстан на 2016-2020 годы</t>
  </si>
  <si>
    <t>Министерство Промышленности и торговли РТ</t>
  </si>
  <si>
    <t>ПКМ РТ от 28.04.2016 №259</t>
  </si>
  <si>
    <t>Развитие архивного дела в Республике Татарстан на 2016-2020 годы</t>
  </si>
  <si>
    <t>Государственный комитет Республики Татарстан по архивному делу</t>
  </si>
  <si>
    <t>ПКМ РТ 
от 10 июня 2016 г. N 395</t>
  </si>
  <si>
    <t>Создание и развитие индустриальных (промышленных) парков и промышленных площадок муниципального уровня на территории Республики Татарстан на 2017-2020 годы</t>
  </si>
  <si>
    <t>Энергосбережение и повышение энергетической эффективности</t>
  </si>
  <si>
    <t>Мирас-Наследие  на  2014  -  2019 годы</t>
  </si>
  <si>
    <t xml:space="preserve">Дети Татарстана на 2016-2018 годы </t>
  </si>
  <si>
    <t xml:space="preserve">Энергосбережение  и  повышение   энергетической   эффективности </t>
  </si>
  <si>
    <t>Обеспечение жильем молодых семей в Республике Татарстан на 2014-2020 годы</t>
  </si>
  <si>
    <t>24.8</t>
  </si>
  <si>
    <t>Реализация проектов комплексного освоения и развития территорий на 2014-2020 годы</t>
  </si>
  <si>
    <t>вх.12313</t>
  </si>
  <si>
    <t>Белан К.С.</t>
  </si>
  <si>
    <t>вх.12312</t>
  </si>
  <si>
    <t>вх12292</t>
  </si>
  <si>
    <t>вх.11733</t>
  </si>
  <si>
    <t>вх.12167</t>
  </si>
  <si>
    <t>вх.12181</t>
  </si>
  <si>
    <t>вх.12209</t>
  </si>
  <si>
    <t>18.7</t>
  </si>
  <si>
    <t>18.8</t>
  </si>
  <si>
    <t>18.9</t>
  </si>
  <si>
    <t>вх.12218</t>
  </si>
  <si>
    <t>вх12244</t>
  </si>
  <si>
    <t>вх11990</t>
  </si>
  <si>
    <t>вх11619</t>
  </si>
  <si>
    <t>вх11588</t>
  </si>
  <si>
    <t>вх12725</t>
  </si>
  <si>
    <t>ГАСУ</t>
  </si>
  <si>
    <t>вх.12702</t>
  </si>
  <si>
    <t>вх12408</t>
  </si>
  <si>
    <t>вх.12391</t>
  </si>
  <si>
    <t>вх.12382</t>
  </si>
  <si>
    <t>Развитие социальной и инженерной инфраструктуры</t>
  </si>
  <si>
    <t>приостановлена</t>
  </si>
  <si>
    <t>Outlook  Луньков Д.И.</t>
  </si>
  <si>
    <t>Outlook Лукашина</t>
  </si>
  <si>
    <t>Развитие социальной и инженерной инфраструктуры на 2015-2020 годы</t>
  </si>
  <si>
    <t xml:space="preserve">Модернизация здравоохранения Республики Татарстан на 2014 - 2016 годы в части проектирования, строительства и ввода в эксплуатацию перинатального центра
</t>
  </si>
  <si>
    <t>3.10</t>
  </si>
  <si>
    <t>Сохранение национальной идентичности татарского народа (2014 - 2019 годы)</t>
  </si>
  <si>
    <t xml:space="preserve">Развитие социальной и инженерной инфраструктуры </t>
  </si>
  <si>
    <t>Достпуная среда на 2014-2018 годы</t>
  </si>
  <si>
    <t>Развитие социальной и инженерной инфрастуктуры в рамках Государственной программы</t>
  </si>
  <si>
    <t>12.5</t>
  </si>
  <si>
    <t>Развитие социальной и инженерной инфракструктуры в рамках государственной программы</t>
  </si>
  <si>
    <t>Развитие социальной и инженерийной инфраструктуры в рамках Государственной программы</t>
  </si>
  <si>
    <t>20.15</t>
  </si>
  <si>
    <t>20.16</t>
  </si>
  <si>
    <t>Развитие социальной и инженерной инфраструктуры в рамках государственной программы "Развитие культуры Республики Татарстан на 2014-2020 годы"</t>
  </si>
  <si>
    <t>Министерство Труда, занятости и социальной защиты РТ</t>
  </si>
  <si>
    <t>Оказание содействия добровольному переселению в Республику Татарстан соотечественников, проживающх за рубежем, на 2017-2018 годы</t>
  </si>
  <si>
    <t>ПКМ РТ от 30.10.2017  №821</t>
  </si>
  <si>
    <t>24.2</t>
  </si>
  <si>
    <t>Реализация мер содействия занятости населения и регулирование трудовой миграции. Сопровождение инвалидов молодого возраста при трудоустройстве
 на 2014-2020 годы</t>
  </si>
  <si>
    <t>Развитие сети логистических центров на 2014-2022 годы</t>
  </si>
  <si>
    <t xml:space="preserve">                                                    Развитие малого и среднего предпринимательства в Республике Татарстан на 2018-2020 годы
</t>
  </si>
  <si>
    <t>Развитие образования и науки Республики Татарстан на 2014 - 2025 годы</t>
  </si>
  <si>
    <t>Профилактика терроризма и экстремизма в Республике Татарстан на 2014-2020 годы</t>
  </si>
  <si>
    <t xml:space="preserve">Патриотическое воспитание молодежи на 2014-2020 годы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</si>
  <si>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Республике Татарстан на 2014-2020 годы</t>
  </si>
  <si>
    <t>Поддержка социально ориентированных некоммерческих организаций в Республике Татарстан на 2014-2020 годы</t>
  </si>
  <si>
    <t>32</t>
  </si>
  <si>
    <t xml:space="preserve">ПКМ РТ от 30.10.2017 № 823
</t>
  </si>
  <si>
    <t>Формирование современной городской среды на территории Республики Татарстан на 2018-2022 годы</t>
  </si>
  <si>
    <t>Развитие сферы туризма и гостеприимства в Республике Татарстан на 2014 - 2021 годы</t>
  </si>
  <si>
    <t>Развитие государственной гражданской службы Республики Татарстан и муниципальной службы в Республике Татарстан на 2014 - 2021 годы</t>
  </si>
  <si>
    <t>Развитие юстиции в Республике Татарстан на 2014 - 2021 годы</t>
  </si>
  <si>
    <t>Управление государственными финансами Республики Татарстан на 2014 - 2021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</si>
  <si>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 на 2014 - 2021 годы</t>
  </si>
  <si>
    <t>Развитие сельского хозяйства и регулирование рынков сельскохозяйственной продукции, сырья и продовольствия в Республике Татарстан на 2013 - 2021 годы</t>
  </si>
  <si>
    <t>Развитие лесного хозяйства Республики Татарстан на 2014 - 2021 годы</t>
  </si>
  <si>
    <t>Охрана и защита лесов на 2014-2021 годы</t>
  </si>
  <si>
    <t>Использование лесов на 2014-2021 годы</t>
  </si>
  <si>
    <t xml:space="preserve"> Воспроизводство лесов на 2014-2021 годы</t>
  </si>
  <si>
    <t>Строительство и содержание лесных дорог на 2014-2021 годы</t>
  </si>
  <si>
    <t>Обеспечение реализации Государственной программы РТ "Развитие лесного хозяйства на 2014-2021 годы"</t>
  </si>
  <si>
    <t>Энергосбережение и повышение энергетической эффективности в Республике Татарстан на 2014 - 2021 годы</t>
  </si>
  <si>
    <t>Реализация антикоррупционной политики Республики Татарстан на 2015-2021 годы</t>
  </si>
  <si>
    <t>Охрана окружающей среды, воспроизводство и использование природных ресурсов Республики Татарстан на 2014 - 2021 годы</t>
  </si>
  <si>
    <t>Социальная поддержка граждан Республики Татарстан на 2014 - 2021  годы</t>
  </si>
  <si>
    <t>Социальные выплаты на 2014-2021 годы</t>
  </si>
  <si>
    <t>Повышение качества жизни граждан пожилого возраста на 2014-2021 годы</t>
  </si>
  <si>
    <t>Модернизация и развитие социального обслуживания населения Республики Татарстан на 2014-2021 годы</t>
  </si>
  <si>
    <t>Улучшение социально-экономического положения семей на 2015 - 2021 годы</t>
  </si>
  <si>
    <t>Развитие ранней помощи в Республике Татарстан на 2017-2021 годы</t>
  </si>
  <si>
    <t>Реализация государственной политики в сфере юстиции в Республике Татарстан на 2014-2021 годы</t>
  </si>
  <si>
    <t>Развитие института мировой юстиции в Республике Татарстан на 2014-2021  годы</t>
  </si>
  <si>
    <t>Пожарная безопасность в Республике Татарстан на 2014-2021 годы</t>
  </si>
  <si>
    <t>Снижение рисков и смягчение последствий чрезвычайных ситуаций природного и техногенного характера в Республике Татарстан на 2014-2021 годы</t>
  </si>
  <si>
    <t>Обеспечение безопасности людей на водных объектах в Республике Татарстан на 2014-2021 годы</t>
  </si>
  <si>
    <t>Построение и развитие аппаратно-программного комплекса "Безопасный город" в Республике Татарстан на 2016-2021 годы</t>
  </si>
  <si>
    <t>Регулирование качества окружающей среды Республики Татарстан на 2014-2021 годы</t>
  </si>
  <si>
    <t>Государственное управление в сфере обращения отходов производства и потребления в Республике Татарстан на 2014-2021 годы</t>
  </si>
  <si>
    <t>Государственное управление в сфере недропользования Республики Татарстан на 2014-2021 годы</t>
  </si>
  <si>
    <t>Развитие водохозяйственного комплекса Республики Татарстан на 2014-2021 годы</t>
  </si>
  <si>
    <t>Сохранение биологического разнообразия Республики Татарстан на 2014-2021 годы</t>
  </si>
  <si>
    <t>Воспроизводство и использование охотничьих ресурсов Республики Татарстан на 2014-2021 годы</t>
  </si>
  <si>
    <t>Координирование деятельности служб в сфере охраны окружающей среды и природопользования Республики Татарстан на 2014-2021 годы</t>
  </si>
  <si>
    <t>Управление государственным имуществом Республики Татарстан на 2014 - 2021 годы</t>
  </si>
  <si>
    <t>3,11</t>
  </si>
  <si>
    <t xml:space="preserve">Развитие материально-технической базы детских поликлиник и детских поликлинических отделений медицинских организаций на 2018 - 2020 годы
</t>
  </si>
  <si>
    <t>Финансирование государственных программ Республики Татарстан за 9 месяцев 2018 года</t>
  </si>
  <si>
    <t>Обеспечение качественным жильем и услугами жилищно-коммунального хозяйства населения Республики Татарстан на 2014 – 2021 годы</t>
  </si>
  <si>
    <t>Обеспечение общественного порядка и противодействие преступности в Республике Татарстан на 2014 - 2021 годы</t>
  </si>
  <si>
    <t>Развитие молодежной политики, физической культуры и спорта в Республике Татарстан на 2014 - 2021 годы</t>
  </si>
  <si>
    <t>Развитие физической культуры и спорта на 2014-2021 годы</t>
  </si>
  <si>
    <t>Организация отдыха детей и молодежи, их оздоровления и занятости на 2014-2021 годы</t>
  </si>
  <si>
    <t>Сельская молодежь на 2014-2021 годы</t>
  </si>
  <si>
    <t>Молодежь Татарстана на 2014-2021 годы</t>
  </si>
  <si>
    <t>Совершенствование государственной молодежной политики и государственной политики в области спорта на 2014 – 2021 годы</t>
  </si>
  <si>
    <t>Сохранение, изучение и развитие государственных языков Республики Татарстан и других языков в Республике Татарстан на 2014 - 2021 годы</t>
  </si>
  <si>
    <t>Развитие здравоохранения Республики Татарстан до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</si>
</sst>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\ _₽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9" borderId="1" applyNumberFormat="0" applyAlignment="0" applyProtection="0"/>
    <xf numFmtId="0" fontId="19" fillId="16" borderId="2" applyNumberFormat="0" applyAlignment="0" applyProtection="0"/>
    <xf numFmtId="0" fontId="20" fillId="16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7" borderId="7" applyNumberFormat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19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8" fillId="9" borderId="10" applyNumberFormat="0" applyAlignment="0" applyProtection="0"/>
    <xf numFmtId="0" fontId="19" fillId="16" borderId="11" applyNumberFormat="0" applyAlignment="0" applyProtection="0"/>
    <xf numFmtId="0" fontId="20" fillId="16" borderId="10" applyNumberFormat="0" applyAlignment="0" applyProtection="0"/>
    <xf numFmtId="0" fontId="24" fillId="0" borderId="12" applyNumberFormat="0" applyFill="0" applyAlignment="0" applyProtection="0"/>
    <xf numFmtId="0" fontId="16" fillId="19" borderId="13" applyNumberFormat="0" applyFont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29" borderId="0" applyNumberFormat="0" applyBorder="0" applyAlignment="0" applyProtection="0"/>
    <xf numFmtId="0" fontId="18" fillId="9" borderId="18" applyNumberFormat="0" applyAlignment="0" applyProtection="0"/>
    <xf numFmtId="0" fontId="19" fillId="16" borderId="19" applyNumberFormat="0" applyAlignment="0" applyProtection="0"/>
    <xf numFmtId="0" fontId="20" fillId="16" borderId="18" applyNumberFormat="0" applyAlignment="0" applyProtection="0"/>
    <xf numFmtId="0" fontId="24" fillId="0" borderId="20" applyNumberFormat="0" applyFill="0" applyAlignment="0" applyProtection="0"/>
    <xf numFmtId="0" fontId="16" fillId="19" borderId="21" applyNumberFormat="0" applyFont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2" fillId="0" borderId="0" xfId="0" applyFont="1" applyAlignment="1">
      <alignment wrapText="1"/>
    </xf>
    <xf numFmtId="0" fontId="10" fillId="0" borderId="0" xfId="0" applyFont="1"/>
    <xf numFmtId="0" fontId="4" fillId="5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5" borderId="0" xfId="0" applyFont="1" applyFill="1"/>
    <xf numFmtId="0" fontId="6" fillId="4" borderId="0" xfId="0" applyFont="1" applyFill="1"/>
    <xf numFmtId="0" fontId="0" fillId="0" borderId="0" xfId="0" applyFill="1"/>
    <xf numFmtId="0" fontId="4" fillId="0" borderId="0" xfId="0" applyFont="1"/>
    <xf numFmtId="0" fontId="4" fillId="4" borderId="0" xfId="0" applyFont="1" applyFill="1"/>
    <xf numFmtId="4" fontId="0" fillId="0" borderId="0" xfId="0" applyNumberFormat="1"/>
    <xf numFmtId="2" fontId="0" fillId="0" borderId="0" xfId="0" applyNumberForma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2" fontId="2" fillId="0" borderId="0" xfId="0" applyNumberFormat="1" applyFont="1" applyAlignment="1">
      <alignment wrapText="1"/>
    </xf>
    <xf numFmtId="0" fontId="1" fillId="2" borderId="0" xfId="1"/>
    <xf numFmtId="4" fontId="1" fillId="2" borderId="0" xfId="1" applyNumberFormat="1"/>
    <xf numFmtId="0" fontId="1" fillId="20" borderId="0" xfId="1" applyFill="1"/>
    <xf numFmtId="0" fontId="3" fillId="20" borderId="0" xfId="1" applyFont="1" applyFill="1"/>
    <xf numFmtId="0" fontId="1" fillId="6" borderId="0" xfId="1" applyFill="1"/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 vertical="center" wrapText="1"/>
    </xf>
    <xf numFmtId="164" fontId="6" fillId="5" borderId="14" xfId="1" applyNumberFormat="1" applyFont="1" applyFill="1" applyBorder="1" applyAlignment="1">
      <alignment horizontal="center" vertical="center" wrapText="1"/>
    </xf>
    <xf numFmtId="0" fontId="36" fillId="5" borderId="14" xfId="1" applyFont="1" applyFill="1" applyBorder="1" applyAlignment="1">
      <alignment horizontal="center" vertical="center" wrapText="1"/>
    </xf>
    <xf numFmtId="164" fontId="4" fillId="5" borderId="14" xfId="1" applyNumberFormat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49" fontId="5" fillId="6" borderId="14" xfId="1" applyNumberFormat="1" applyFont="1" applyFill="1" applyBorder="1" applyAlignment="1">
      <alignment horizontal="center" vertical="center"/>
    </xf>
    <xf numFmtId="0" fontId="13" fillId="6" borderId="14" xfId="1" applyFont="1" applyFill="1" applyBorder="1" applyAlignment="1">
      <alignment horizontal="left" vertical="center" wrapText="1"/>
    </xf>
    <xf numFmtId="164" fontId="5" fillId="6" borderId="14" xfId="1" applyNumberFormat="1" applyFont="1" applyFill="1" applyBorder="1" applyAlignment="1">
      <alignment horizontal="center" vertical="center" wrapText="1"/>
    </xf>
    <xf numFmtId="4" fontId="5" fillId="6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64" fontId="4" fillId="0" borderId="14" xfId="2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164" fontId="5" fillId="2" borderId="14" xfId="1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2" borderId="14" xfId="1" applyFont="1" applyBorder="1" applyAlignment="1">
      <alignment horizontal="left" vertical="center" wrapText="1"/>
    </xf>
    <xf numFmtId="49" fontId="4" fillId="0" borderId="14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4" xfId="1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0" fillId="0" borderId="0" xfId="0" applyNumberFormat="1" applyFill="1"/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3" fillId="6" borderId="14" xfId="0" applyFont="1" applyFill="1" applyBorder="1" applyAlignment="1">
      <alignment horizontal="left" vertical="center" wrapText="1"/>
    </xf>
    <xf numFmtId="0" fontId="37" fillId="2" borderId="15" xfId="1" applyFont="1" applyBorder="1" applyAlignment="1">
      <alignment wrapText="1"/>
    </xf>
    <xf numFmtId="0" fontId="37" fillId="2" borderId="16" xfId="1" applyFont="1" applyBorder="1" applyAlignment="1">
      <alignment wrapText="1"/>
    </xf>
    <xf numFmtId="0" fontId="37" fillId="2" borderId="17" xfId="1" applyFont="1" applyBorder="1" applyAlignment="1">
      <alignment wrapText="1"/>
    </xf>
    <xf numFmtId="49" fontId="38" fillId="0" borderId="14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top" wrapText="1"/>
    </xf>
    <xf numFmtId="166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64" fontId="5" fillId="6" borderId="22" xfId="0" applyNumberFormat="1" applyFont="1" applyFill="1" applyBorder="1" applyAlignment="1">
      <alignment horizontal="center" vertical="center" wrapText="1"/>
    </xf>
    <xf numFmtId="0" fontId="13" fillId="2" borderId="22" xfId="1" applyFont="1" applyBorder="1" applyAlignment="1">
      <alignment horizontal="left" vertical="center" wrapText="1"/>
    </xf>
    <xf numFmtId="0" fontId="5" fillId="2" borderId="22" xfId="1" applyFont="1" applyBorder="1" applyAlignment="1">
      <alignment horizontal="center" vertical="center" wrapText="1"/>
    </xf>
    <xf numFmtId="164" fontId="5" fillId="2" borderId="22" xfId="1" applyNumberFormat="1" applyFont="1" applyBorder="1" applyAlignment="1">
      <alignment horizontal="center" vertical="center" wrapText="1"/>
    </xf>
    <xf numFmtId="0" fontId="37" fillId="2" borderId="22" xfId="1" applyFont="1" applyBorder="1" applyAlignment="1">
      <alignment wrapText="1"/>
    </xf>
    <xf numFmtId="0" fontId="5" fillId="2" borderId="0" xfId="1" applyFont="1"/>
    <xf numFmtId="49" fontId="13" fillId="2" borderId="22" xfId="1" applyNumberFormat="1" applyFont="1" applyBorder="1" applyAlignment="1">
      <alignment horizontal="center" vertical="center"/>
    </xf>
    <xf numFmtId="164" fontId="35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 wrapText="1"/>
    </xf>
    <xf numFmtId="0" fontId="39" fillId="4" borderId="0" xfId="0" applyFont="1" applyFill="1" applyAlignment="1">
      <alignment wrapText="1"/>
    </xf>
    <xf numFmtId="165" fontId="39" fillId="0" borderId="0" xfId="0" applyNumberFormat="1" applyFont="1" applyAlignment="1">
      <alignment wrapText="1"/>
    </xf>
    <xf numFmtId="2" fontId="39" fillId="0" borderId="0" xfId="0" applyNumberFormat="1" applyFont="1" applyAlignment="1">
      <alignment wrapText="1"/>
    </xf>
    <xf numFmtId="165" fontId="39" fillId="4" borderId="0" xfId="0" applyNumberFormat="1" applyFont="1" applyFill="1" applyAlignment="1">
      <alignment wrapText="1"/>
    </xf>
    <xf numFmtId="165" fontId="39" fillId="0" borderId="0" xfId="0" applyNumberFormat="1" applyFont="1" applyFill="1" applyAlignment="1">
      <alignment wrapText="1"/>
    </xf>
    <xf numFmtId="164" fontId="6" fillId="0" borderId="22" xfId="1" applyNumberFormat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wrapText="1"/>
    </xf>
    <xf numFmtId="49" fontId="6" fillId="0" borderId="22" xfId="1" applyNumberFormat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vertical="top" wrapText="1"/>
    </xf>
    <xf numFmtId="49" fontId="40" fillId="0" borderId="22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5" fontId="41" fillId="0" borderId="22" xfId="0" applyNumberFormat="1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49" fontId="14" fillId="0" borderId="14" xfId="0" applyNumberFormat="1" applyFont="1" applyBorder="1" applyAlignment="1"/>
    <xf numFmtId="49" fontId="15" fillId="0" borderId="14" xfId="0" applyNumberFormat="1" applyFont="1" applyBorder="1" applyAlignment="1"/>
  </cellXfs>
  <cellStyles count="55">
    <cellStyle name="20% - Акцент1" xfId="32"/>
    <cellStyle name="20% — акцент1" xfId="2" builtinId="30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Акцент1" xfId="1" builtinId="29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вод  2 2" xfId="27"/>
    <cellStyle name="Ввод  3" xfId="50"/>
    <cellStyle name="Вывод 2" xfId="11"/>
    <cellStyle name="Вывод 2 2" xfId="28"/>
    <cellStyle name="Вывод 3" xfId="51"/>
    <cellStyle name="Вычисление 2" xfId="12"/>
    <cellStyle name="Вычисление 2 2" xfId="29"/>
    <cellStyle name="Вычисление 3" xfId="5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Итог 2 2" xfId="30"/>
    <cellStyle name="Итог 3" xfId="53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3"/>
    <cellStyle name="Плохой 2" xfId="21"/>
    <cellStyle name="Пояснение 2" xfId="22"/>
    <cellStyle name="Примечание 2" xfId="23"/>
    <cellStyle name="Примечание 2 2" xfId="31"/>
    <cellStyle name="Примечание 3" xfId="54"/>
    <cellStyle name="Связанная ячейка 2" xfId="24"/>
    <cellStyle name="Текст предупреждения 2" xfId="25"/>
    <cellStyle name="Хороший 2" xfId="26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44672342" displayName="Таблица44672342" ref="A5:V157" headerRowCount="0" totalsRowCount="1" headerRowDxfId="49" dataDxfId="47" totalsRowDxfId="45" headerRowBorderDxfId="48" tableBorderDxfId="46" totalsRowBorderDxfId="44">
  <tableColumns count="22">
    <tableColumn id="1" name=" " headerRowDxfId="43" totalsRowDxfId="42" dataCellStyle="Акцент1"/>
    <tableColumn id="2" name="Столбец1" totalsRowLabel="Итого" headerRowDxfId="41" totalsRowDxfId="40" dataCellStyle="Акцент1"/>
    <tableColumn id="3" name="Столбец3" headerRowDxfId="39" totalsRowDxfId="38" dataCellStyle="Акцент1"/>
    <tableColumn id="4" name="Столбец4" headerRowDxfId="37" totalsRowDxfId="36" dataCellStyle="Акцент1"/>
    <tableColumn id="5" name="Столбец5" totalsRowFunction="custom" headerRowDxfId="35" totalsRowDxfId="34">
      <calculatedColumnFormula>Таблица44672342[[#This Row],[Столбец8]]+Таблица44672342[[#This Row],[Столбец11]]+Таблица44672342[[#This Row],[Столбец14]]+Таблица44672342[[#This Row],[Столбец17]]</calculatedColumnFormula>
      <totalsRowFormula>E154+E153+E152+E151+E150+E149+E141+E133+E123+E122+E105+E88+E80+E79+E73+E66+E51+E50+E43+E39+E35+E34+E28+E16+E5+E15+E74+E97+E49+E155+E72+E156</totalsRowFormula>
    </tableColumn>
    <tableColumn id="6" name="Столбец6" totalsRowFunction="custom" headerRowDxfId="33" totalsRowDxfId="32">
      <calculatedColumnFormula>Таблица44672342[[#This Row],[Столбец9]]+Таблица44672342[[#This Row],[Столбец12]]+Таблица44672342[[#This Row],[Столбец15]]+Таблица44672342[[#This Row],[Столбец18]]</calculatedColumnFormula>
      <totalsRowFormula>F154+F153+F152+F151+F150+F149+F141+F133+F123+F122+F105+F88+F80+F79+F73+F66+F51+F50+F43+F39+F35+F34+F28+F16+F5+F15+F74+F97+F49+F155+F72+F156</totalsRowFormula>
    </tableColumn>
    <tableColumn id="7" name="Столбец7" totalsRowFunction="custom" headerRowDxfId="31" totalsRowDxfId="30" dataCellStyle="Акцент1">
      <calculatedColumnFormula>Таблица44672342[[#This Row],[Столбец6]]/Таблица44672342[[#This Row],[Столбец5]]*100</calculatedColumnFormula>
      <totalsRowFormula>Таблица44672342[[#Totals],[Столбец6]]/Таблица44672342[[#Totals],[Столбец5]]*100</totalsRowFormula>
    </tableColumn>
    <tableColumn id="8" name="Столбец8" totalsRowFunction="custom" headerRowDxfId="29" totalsRowDxfId="28" dataCellStyle="Акцент1">
      <totalsRowFormula>H154+H153+H152+H151+H150+H149+H141+H133+H123+H122+H105+H88+H80+H79+H73+H66+H51+H50+H43+H39+H35+H34+H28+H16+H5+H15+H74+H97+H49+H155+H72+H156</totalsRowFormula>
    </tableColumn>
    <tableColumn id="9" name="Столбец9" totalsRowFunction="custom" headerRowDxfId="27" totalsRowDxfId="26" dataCellStyle="Акцент1">
      <totalsRowFormula>I154+I153+I152+I151+I150+I149+I141+I133+I123+I122+I105+I88+I80+I79+I73+I66+I51+I50+I43+I39+I35+I34+I28+I16+I5+I15+I74+I97+I49+I155+I72+I156</totalsRowFormula>
    </tableColumn>
    <tableColumn id="10" name="Столбец10" totalsRowFunction="custom" headerRowDxfId="25" totalsRowDxfId="24" dataCellStyle="Акцент1">
      <calculatedColumnFormula>Таблица44672342[[#This Row],[Столбец9]]/Таблица44672342[[#This Row],[Столбец8]]*100</calculatedColumnFormula>
      <totalsRowFormula>Таблица44672342[[#Totals],[Столбец9]]/Таблица44672342[[#Totals],[Столбец8]]*100</totalsRowFormula>
    </tableColumn>
    <tableColumn id="11" name="Столбец11" totalsRowFunction="custom" headerRowDxfId="23" totalsRowDxfId="22" dataCellStyle="Акцент1">
      <totalsRowFormula>K154+K153+K152+K151+K150+K149+K141+K133+K123+K122+K105+K88+K80+K79+K73+K66+K51+K50+K43+K39+K35+K34+K28+K16+K5+K15+K74+K97+K49+K155+K72+K156</totalsRowFormula>
    </tableColumn>
    <tableColumn id="12" name="Столбец12" totalsRowFunction="custom" headerRowDxfId="21" totalsRowDxfId="20" dataCellStyle="Акцент1">
      <totalsRowFormula>L154+L153+L152+L151+L150+L149+L141+L133+L123+L122+L105+L88+L80+L79+L73+L66+L51+L50+L43+L39+L35+L34+L28+L16+L5+L15+L74+L97+L49+L155+L72+L156</totalsRowFormula>
    </tableColumn>
    <tableColumn id="13" name="Столбец13" totalsRowFunction="custom" headerRowDxfId="19" totalsRowDxfId="18" dataCellStyle="Акцент1">
      <calculatedColumnFormula>Таблица44672342[[#This Row],[Столбец12]]/Таблица44672342[[#This Row],[Столбец11]]*100</calculatedColumnFormula>
      <totalsRowFormula>Таблица44672342[[#Totals],[Столбец12]]/Таблица44672342[[#Totals],[Столбец11]]*100</totalsRowFormula>
    </tableColumn>
    <tableColumn id="14" name="Столбец14" totalsRowFunction="custom" headerRowDxfId="17" totalsRowDxfId="16" dataCellStyle="Акцент1">
      <totalsRowFormula>N154+N153+N152+N151+N150+N149+N141+N133+N123+N122+N105+N88+N80+N79+N73+N66+N51+N50+N43+N39+N35+N34+N28+N16+N5+N15+N74+N97+N49+N155+N72</totalsRowFormula>
    </tableColumn>
    <tableColumn id="15" name="Столбец15" totalsRowFunction="custom" headerRowDxfId="15" totalsRowDxfId="14" dataCellStyle="Акцент1">
      <totalsRowFormula>O154+O153+O152+O151+O150+O149+O141+O133+O123+O122+O105+O88+O80+O79+O73+O66+O51+O50+O43+O39+O35+O34+O28+O16+O5+O15+O74+O97+O49+O155+O72</totalsRowFormula>
    </tableColumn>
    <tableColumn id="16" name="Столбец16" totalsRowFunction="custom" headerRowDxfId="13" totalsRowDxfId="12" dataCellStyle="Акцент1">
      <calculatedColumnFormula>Таблица44672342[[#This Row],[Столбец15]]/Таблица44672342[[#This Row],[Столбец14]]*100</calculatedColumnFormula>
      <totalsRowFormula>Таблица44672342[[#Totals],[Столбец15]]/Таблица44672342[[#Totals],[Столбец14]]*100</totalsRowFormula>
    </tableColumn>
    <tableColumn id="17" name="Столбец17" totalsRowFunction="custom" headerRowDxfId="11" totalsRowDxfId="10" dataCellStyle="Акцент1">
      <totalsRowFormula>Q154+Q153+Q152+Q151+Q150+Q149+Q141+Q133+Q123+Q122+Q105+Q88+Q80+Q79+Q73+Q66+Q51+Q50+Q43+Q39+Q35+Q34+Q28+Q16+Q5+Q15+Q74+Q97+Q49+Q155+Q72</totalsRowFormula>
    </tableColumn>
    <tableColumn id="18" name="Столбец18" totalsRowFunction="custom" headerRowDxfId="9" totalsRowDxfId="8" dataCellStyle="Акцент1">
      <totalsRowFormula>R154+R153+R152+R151+R150+R149+R141+R133+R123+R122+R105+R88+R80+R79+R73+R66+R51+R50+R43+R39+R35+R34+R28+R16+R5+R15+R74+R97+R49+R155+R72</totalsRowFormula>
    </tableColumn>
    <tableColumn id="19" name="Столбец19" totalsRowFunction="custom" headerRowDxfId="7" totalsRowDxfId="6" dataCellStyle="Акцент1">
      <calculatedColumnFormula>Таблица44672342[[#This Row],[Столбец18]]/Таблица44672342[[#This Row],[Столбец17]]*100</calculatedColumnFormula>
      <totalsRowFormula>Таблица44672342[[#Totals],[Столбец18]]/Таблица44672342[[#Totals],[Столбец17]]*100</totalsRowFormula>
    </tableColumn>
    <tableColumn id="20" name="Столбец2" totalsRowFunction="custom" headerRowDxfId="5" totalsRowDxfId="4" dataCellStyle="Акцент1">
      <totalsRowFormula>T154+T153+T152+T151+T150+T149+T141+T133+T123+T122+T105+T88+T80+T79+T73+T66+T51+T50+T43+T39+T35+T34+T28+T16+T5+T15+T74+T97+T49+T155+T72</totalsRowFormula>
    </tableColumn>
    <tableColumn id="21" name="Столбец20" totalsRowFunction="custom" headerRowDxfId="3" totalsRowDxfId="2" dataCellStyle="Акцент1">
      <totalsRowFormula>U154+U153+U152+U151+U150+U149+U141+U133+U123+U122+U105+U88+U80+U79+U73+U66+U51+U50+U43+U39+U35+U34+U28+U16+U5+U15+U74+U97+U49+U155+U72</totalsRowFormula>
    </tableColumn>
    <tableColumn id="22" name="Столбец21" headerRow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4"/>
  <sheetViews>
    <sheetView tabSelected="1" view="pageBreakPreview" zoomScale="60" zoomScaleNormal="50" workbookViewId="0">
      <pane ySplit="4" topLeftCell="A5" activePane="bottomLeft" state="frozen"/>
      <selection pane="bottomLeft" activeCell="AB10" sqref="AB10"/>
    </sheetView>
  </sheetViews>
  <sheetFormatPr defaultRowHeight="15" x14ac:dyDescent="0.25"/>
  <cols>
    <col min="1" max="1" width="6.28515625" customWidth="1"/>
    <col min="2" max="2" width="35.42578125" style="16" customWidth="1"/>
    <col min="3" max="3" width="16.7109375" customWidth="1"/>
    <col min="4" max="4" width="24" customWidth="1"/>
    <col min="5" max="5" width="20.28515625" customWidth="1"/>
    <col min="6" max="6" width="21.42578125" customWidth="1"/>
    <col min="7" max="7" width="16.42578125" customWidth="1"/>
    <col min="8" max="8" width="19.42578125" customWidth="1"/>
    <col min="9" max="9" width="20.140625" customWidth="1"/>
    <col min="10" max="10" width="14.85546875" customWidth="1"/>
    <col min="11" max="11" width="16.140625" customWidth="1"/>
    <col min="12" max="12" width="17" customWidth="1"/>
    <col min="13" max="13" width="17.28515625" customWidth="1"/>
    <col min="14" max="14" width="16.5703125" customWidth="1"/>
    <col min="15" max="15" width="15.42578125" customWidth="1"/>
    <col min="16" max="16" width="15.28515625" customWidth="1"/>
    <col min="17" max="17" width="18.140625" customWidth="1"/>
    <col min="18" max="18" width="19.7109375" customWidth="1"/>
    <col min="19" max="19" width="23.140625" customWidth="1"/>
    <col min="20" max="20" width="20.85546875" style="10" hidden="1" customWidth="1"/>
    <col min="21" max="21" width="12.85546875" hidden="1" customWidth="1"/>
    <col min="22" max="22" width="47.28515625" hidden="1" customWidth="1"/>
    <col min="43" max="43" width="13" bestFit="1" customWidth="1"/>
  </cols>
  <sheetData>
    <row r="1" spans="1:22" ht="18.75" x14ac:dyDescent="0.3">
      <c r="A1" s="111" t="s">
        <v>352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2" ht="12" customHeigh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2" ht="18.75" customHeight="1" x14ac:dyDescent="0.25">
      <c r="A3" s="113"/>
      <c r="B3" s="109" t="s">
        <v>53</v>
      </c>
      <c r="C3" s="109" t="s">
        <v>0</v>
      </c>
      <c r="D3" s="109" t="s">
        <v>1</v>
      </c>
      <c r="E3" s="109" t="s">
        <v>2</v>
      </c>
      <c r="F3" s="110"/>
      <c r="G3" s="110"/>
      <c r="H3" s="109" t="s">
        <v>4</v>
      </c>
      <c r="I3" s="110"/>
      <c r="J3" s="110"/>
      <c r="K3" s="109" t="s">
        <v>3</v>
      </c>
      <c r="L3" s="110"/>
      <c r="M3" s="110"/>
      <c r="N3" s="109" t="s">
        <v>5</v>
      </c>
      <c r="O3" s="110"/>
      <c r="P3" s="110"/>
      <c r="Q3" s="109" t="s">
        <v>6</v>
      </c>
      <c r="R3" s="110"/>
      <c r="S3" s="110"/>
    </row>
    <row r="4" spans="1:22" ht="66" customHeight="1" x14ac:dyDescent="0.25">
      <c r="A4" s="114"/>
      <c r="B4" s="110"/>
      <c r="C4" s="110"/>
      <c r="D4" s="110"/>
      <c r="E4" s="52" t="s">
        <v>13</v>
      </c>
      <c r="F4" s="52" t="s">
        <v>14</v>
      </c>
      <c r="G4" s="52" t="s">
        <v>7</v>
      </c>
      <c r="H4" s="52" t="s">
        <v>13</v>
      </c>
      <c r="I4" s="52" t="s">
        <v>14</v>
      </c>
      <c r="J4" s="52" t="s">
        <v>7</v>
      </c>
      <c r="K4" s="52" t="s">
        <v>13</v>
      </c>
      <c r="L4" s="52" t="s">
        <v>14</v>
      </c>
      <c r="M4" s="52" t="s">
        <v>7</v>
      </c>
      <c r="N4" s="52" t="s">
        <v>13</v>
      </c>
      <c r="O4" s="52" t="s">
        <v>14</v>
      </c>
      <c r="P4" s="52" t="s">
        <v>7</v>
      </c>
      <c r="Q4" s="52" t="s">
        <v>13</v>
      </c>
      <c r="R4" s="52" t="s">
        <v>14</v>
      </c>
      <c r="S4" s="52" t="s">
        <v>7</v>
      </c>
    </row>
    <row r="5" spans="1:22" ht="104.25" customHeight="1" x14ac:dyDescent="0.25">
      <c r="A5" s="38">
        <v>1</v>
      </c>
      <c r="B5" s="39" t="s">
        <v>320</v>
      </c>
      <c r="C5" s="35" t="s">
        <v>29</v>
      </c>
      <c r="D5" s="50" t="s">
        <v>15</v>
      </c>
      <c r="E5" s="36">
        <f>SUM(Таблица44672342[[#This Row],[Столбец8]]+Таблица44672342[[#This Row],[Столбец11]]+Таблица44672342[[#This Row],[Столбец14]]+Таблица44672342[[#This Row],[Столбец17]])</f>
        <v>18222654.199999999</v>
      </c>
      <c r="F5" s="36">
        <f>SUM(Таблица44672342[[#This Row],[Столбец9]]+Таблица44672342[[#This Row],[Столбец12]]+Таблица44672342[[#This Row],[Столбец15]]+Таблица44672342[[#This Row],[Столбец18]])</f>
        <v>11972598.27</v>
      </c>
      <c r="G5" s="51">
        <f>Таблица44672342[[#This Row],[Столбец6]]/Таблица44672342[[#This Row],[Столбец5]]*100</f>
        <v>65.701725657506032</v>
      </c>
      <c r="H5" s="51">
        <f>SUM(H6:H14)</f>
        <v>11092011.5</v>
      </c>
      <c r="I5" s="51">
        <f>SUM(I6:I14)</f>
        <v>8249494.9299999997</v>
      </c>
      <c r="J5" s="51">
        <f>Таблица44672342[[#This Row],[Столбец9]]/Таблица44672342[[#This Row],[Столбец8]]*100</f>
        <v>74.373299468721243</v>
      </c>
      <c r="K5" s="51">
        <f>SUM(K6:K14)</f>
        <v>6619156.7000000002</v>
      </c>
      <c r="L5" s="51">
        <f>SUM(L6:L14)</f>
        <v>3311617.3400000003</v>
      </c>
      <c r="M5" s="51">
        <f>Таблица44672342[[#This Row],[Столбец12]]/Таблица44672342[[#This Row],[Столбец11]]*100</f>
        <v>50.030804377240386</v>
      </c>
      <c r="N5" s="51">
        <f t="shared" ref="N5" si="0">N6+N7++N8+N9+N10++N11+N12++N13+N14</f>
        <v>0</v>
      </c>
      <c r="O5" s="51">
        <f>SUM(O6:O14)</f>
        <v>0</v>
      </c>
      <c r="P5" s="51">
        <f t="shared" ref="P5" si="1">P6+P7++P8+P9+P10++P11+P12++P13+P14</f>
        <v>0</v>
      </c>
      <c r="Q5" s="51">
        <f>SUM(Q6:Q14)</f>
        <v>511486</v>
      </c>
      <c r="R5" s="51">
        <f>SUM(R6:R14)</f>
        <v>411486</v>
      </c>
      <c r="S5" s="51">
        <f>Таблица44672342[[#This Row],[Столбец18]]/Таблица44672342[[#This Row],[Столбец17]]*100</f>
        <v>80.449122752137896</v>
      </c>
      <c r="T5" s="20" t="s">
        <v>278</v>
      </c>
      <c r="U5" s="76"/>
      <c r="V5" s="91"/>
    </row>
    <row r="6" spans="1:22" ht="63.75" customHeight="1" x14ac:dyDescent="0.25">
      <c r="A6" s="56" t="s">
        <v>126</v>
      </c>
      <c r="B6" s="57" t="s">
        <v>189</v>
      </c>
      <c r="C6" s="27"/>
      <c r="D6" s="27"/>
      <c r="E6" s="30">
        <f>Таблица44672342[[#This Row],[Столбец8]]+Таблица44672342[[#This Row],[Столбец11]]+Таблица44672342[[#This Row],[Столбец14]]+Таблица44672342[[#This Row],[Столбец17]]</f>
        <v>4737521</v>
      </c>
      <c r="F6" s="26">
        <f>Таблица44672342[[#This Row],[Столбец9]]+Таблица44672342[[#This Row],[Столбец12]]+Таблица44672342[[#This Row],[Столбец15]]+Таблица44672342[[#This Row],[Столбец18]]</f>
        <v>5033001.6399999997</v>
      </c>
      <c r="G6" s="26">
        <f>Таблица44672342[[#This Row],[Столбец6]]/Таблица44672342[[#This Row],[Столбец5]]*100</f>
        <v>106.23703071711977</v>
      </c>
      <c r="H6" s="26">
        <v>3176132</v>
      </c>
      <c r="I6" s="26">
        <v>3288633.82</v>
      </c>
      <c r="J6" s="26">
        <f>Таблица44672342[[#This Row],[Столбец9]]/Таблица44672342[[#This Row],[Столбец8]]*100</f>
        <v>103.54210152474769</v>
      </c>
      <c r="K6" s="26">
        <v>1561389</v>
      </c>
      <c r="L6" s="26">
        <v>1744367.82</v>
      </c>
      <c r="M6" s="26">
        <f>Таблица44672342[[#This Row],[Столбец12]]/Таблица44672342[[#This Row],[Столбец11]]*100</f>
        <v>111.7189771415067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0"/>
      <c r="U6" s="75"/>
      <c r="V6" s="91"/>
    </row>
    <row r="7" spans="1:22" ht="67.5" customHeight="1" x14ac:dyDescent="0.25">
      <c r="A7" s="56" t="s">
        <v>125</v>
      </c>
      <c r="B7" s="57" t="s">
        <v>190</v>
      </c>
      <c r="C7" s="27"/>
      <c r="D7" s="27"/>
      <c r="E7" s="30">
        <f>Таблица44672342[[#This Row],[Столбец8]]+Таблица44672342[[#This Row],[Столбец11]]+Таблица44672342[[#This Row],[Столбец14]]+Таблица44672342[[#This Row],[Столбец17]]</f>
        <v>3226846.9</v>
      </c>
      <c r="F7" s="26">
        <f>Таблица44672342[[#This Row],[Столбец9]]+Таблица44672342[[#This Row],[Столбец12]]+Таблица44672342[[#This Row],[Столбец15]]+Таблица44672342[[#This Row],[Столбец18]]</f>
        <v>2869796.44</v>
      </c>
      <c r="G7" s="26">
        <f>Таблица44672342[[#This Row],[Столбец6]]/Таблица44672342[[#This Row],[Столбец5]]*100</f>
        <v>88.935004632540824</v>
      </c>
      <c r="H7" s="26">
        <v>2732084.3</v>
      </c>
      <c r="I7" s="26">
        <v>2373434.48</v>
      </c>
      <c r="J7" s="26">
        <f>Таблица44672342[[#This Row],[Столбец9]]/Таблица44672342[[#This Row],[Столбец8]]*100</f>
        <v>86.872666410769256</v>
      </c>
      <c r="K7" s="26">
        <v>494762.6</v>
      </c>
      <c r="L7" s="26">
        <v>496361.96</v>
      </c>
      <c r="M7" s="26">
        <f>Таблица44672342[[#This Row],[Столбец12]]/Таблица44672342[[#This Row],[Столбец11]]*100</f>
        <v>100.32325806356424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0"/>
      <c r="U7" s="75"/>
      <c r="V7" s="91"/>
    </row>
    <row r="8" spans="1:22" ht="22.5" customHeight="1" x14ac:dyDescent="0.25">
      <c r="A8" s="56" t="s">
        <v>127</v>
      </c>
      <c r="B8" s="57" t="s">
        <v>191</v>
      </c>
      <c r="C8" s="27"/>
      <c r="D8" s="27"/>
      <c r="E8" s="30">
        <f>Таблица44672342[[#This Row],[Столбец8]]+Таблица44672342[[#This Row],[Столбец11]]+Таблица44672342[[#This Row],[Столбец14]]+Таблица44672342[[#This Row],[Столбец17]]</f>
        <v>0</v>
      </c>
      <c r="F8" s="26">
        <f>Таблица44672342[[#This Row],[Столбец9]]+Таблица44672342[[#This Row],[Столбец12]]+Таблица44672342[[#This Row],[Столбец15]]+Таблица44672342[[#This Row],[Столбец18]]</f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0"/>
      <c r="U8" s="75"/>
      <c r="V8" s="91"/>
    </row>
    <row r="9" spans="1:22" ht="37.5" customHeight="1" x14ac:dyDescent="0.25">
      <c r="A9" s="56" t="s">
        <v>128</v>
      </c>
      <c r="B9" s="53" t="s">
        <v>192</v>
      </c>
      <c r="C9" s="27"/>
      <c r="D9" s="27"/>
      <c r="E9" s="30">
        <f>Таблица44672342[[#This Row],[Столбец8]]+Таблица44672342[[#This Row],[Столбец11]]+Таблица44672342[[#This Row],[Столбец14]]+Таблица44672342[[#This Row],[Столбец17]]</f>
        <v>2173804.2999999998</v>
      </c>
      <c r="F9" s="26">
        <f>Таблица44672342[[#This Row],[Столбец9]]+Таблица44672342[[#This Row],[Столбец12]]+Таблица44672342[[#This Row],[Столбец15]]+Таблица44672342[[#This Row],[Столбец18]]</f>
        <v>1600101.9900000002</v>
      </c>
      <c r="G9" s="26">
        <f>Таблица44672342[[#This Row],[Столбец6]]/Таблица44672342[[#This Row],[Столбец5]]*100</f>
        <v>73.608373578063137</v>
      </c>
      <c r="H9" s="26">
        <v>1528804.3</v>
      </c>
      <c r="I9" s="26">
        <v>1009575.93</v>
      </c>
      <c r="J9" s="26">
        <f>Таблица44672342[[#This Row],[Столбец9]]/Таблица44672342[[#This Row],[Столбец8]]*100</f>
        <v>66.036963004355755</v>
      </c>
      <c r="K9" s="26">
        <v>545000</v>
      </c>
      <c r="L9" s="26">
        <v>590526.06000000006</v>
      </c>
      <c r="M9" s="26">
        <f>Таблица44672342[[#This Row],[Столбец12]]/Таблица44672342[[#This Row],[Столбец11]]*100</f>
        <v>108.35340550458716</v>
      </c>
      <c r="N9" s="26">
        <v>0</v>
      </c>
      <c r="O9" s="26">
        <v>0</v>
      </c>
      <c r="P9" s="26">
        <v>0</v>
      </c>
      <c r="Q9" s="26">
        <v>100000</v>
      </c>
      <c r="R9" s="26">
        <v>0</v>
      </c>
      <c r="S9" s="26">
        <v>0</v>
      </c>
      <c r="T9" s="20"/>
      <c r="U9" s="75"/>
      <c r="V9" s="91"/>
    </row>
    <row r="10" spans="1:22" ht="50.25" customHeight="1" x14ac:dyDescent="0.25">
      <c r="A10" s="56" t="s">
        <v>129</v>
      </c>
      <c r="B10" s="57" t="s">
        <v>193</v>
      </c>
      <c r="C10" s="27"/>
      <c r="D10" s="27"/>
      <c r="E10" s="30">
        <f>Таблица44672342[[#This Row],[Столбец8]]+Таблица44672342[[#This Row],[Столбец11]]+Таблица44672342[[#This Row],[Столбец14]]+Таблица44672342[[#This Row],[Столбец17]]</f>
        <v>8200</v>
      </c>
      <c r="F10" s="26">
        <f>Таблица44672342[[#This Row],[Столбец9]]+Таблица44672342[[#This Row],[Столбец12]]+Таблица44672342[[#This Row],[Столбец15]]+Таблица44672342[[#This Row],[Столбец18]]</f>
        <v>0</v>
      </c>
      <c r="G10" s="26">
        <v>0</v>
      </c>
      <c r="H10" s="26">
        <v>8200</v>
      </c>
      <c r="I10" s="26">
        <v>0</v>
      </c>
      <c r="J10" s="26">
        <f>Таблица44672342[[#This Row],[Столбец9]]/Таблица44672342[[#This Row],[Столбец8]]*100</f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0"/>
      <c r="U10" s="75"/>
      <c r="V10" s="91"/>
    </row>
    <row r="11" spans="1:22" ht="36.75" customHeight="1" x14ac:dyDescent="0.25">
      <c r="A11" s="56" t="s">
        <v>130</v>
      </c>
      <c r="B11" s="57" t="s">
        <v>194</v>
      </c>
      <c r="C11" s="27"/>
      <c r="D11" s="27"/>
      <c r="E11" s="30">
        <f>Таблица44672342[[#This Row],[Столбец8]]+Таблица44672342[[#This Row],[Столбец11]]+Таблица44672342[[#This Row],[Столбец14]]+Таблица44672342[[#This Row],[Столбец17]]</f>
        <v>4711366.4000000004</v>
      </c>
      <c r="F11" s="26">
        <f>Таблица44672342[[#This Row],[Столбец9]]+Таблица44672342[[#This Row],[Столбец12]]+Таблица44672342[[#This Row],[Столбец15]]+Таблица44672342[[#This Row],[Столбец18]]</f>
        <v>952994.3</v>
      </c>
      <c r="G11" s="26">
        <f>Таблица44672342[[#This Row],[Столбец6]]/Таблица44672342[[#This Row],[Столбец5]]*100</f>
        <v>20.227556489769082</v>
      </c>
      <c r="H11" s="26">
        <v>1801439.1</v>
      </c>
      <c r="I11" s="26">
        <v>952994.3</v>
      </c>
      <c r="J11" s="26">
        <f>Таблица44672342[[#This Row],[Столбец9]]/Таблица44672342[[#This Row],[Столбец8]]*100</f>
        <v>52.901832762484169</v>
      </c>
      <c r="K11" s="26">
        <v>2909927.3</v>
      </c>
      <c r="L11" s="26">
        <v>0</v>
      </c>
      <c r="M11" s="26">
        <f>Таблица44672342[[#This Row],[Столбец12]]/Таблица44672342[[#This Row],[Столбец11]]*100</f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0"/>
      <c r="U11" s="75"/>
      <c r="V11" s="91"/>
    </row>
    <row r="12" spans="1:22" ht="35.25" customHeight="1" x14ac:dyDescent="0.25">
      <c r="A12" s="56" t="s">
        <v>131</v>
      </c>
      <c r="B12" s="57" t="s">
        <v>195</v>
      </c>
      <c r="C12" s="45"/>
      <c r="D12" s="44"/>
      <c r="E12" s="30">
        <f>Таблица44672342[[#This Row],[Столбец8]]+Таблица44672342[[#This Row],[Столбец11]]+Таблица44672342[[#This Row],[Столбец14]]+Таблица44672342[[#This Row],[Столбец17]]</f>
        <v>1795683.3</v>
      </c>
      <c r="F12" s="26">
        <f>Таблица44672342[[#This Row],[Столбец9]]+Таблица44672342[[#This Row],[Столбец12]]+Таблица44672342[[#This Row],[Столбец15]]+Таблица44672342[[#This Row],[Столбец18]]</f>
        <v>567515.1</v>
      </c>
      <c r="G12" s="26">
        <f>Таблица44672342[[#This Row],[Столбец6]]/Таблица44672342[[#This Row],[Столбец5]]*100</f>
        <v>31.604409307587812</v>
      </c>
      <c r="H12" s="37">
        <v>859828.3</v>
      </c>
      <c r="I12" s="37">
        <v>238356.4</v>
      </c>
      <c r="J12" s="26">
        <f>Таблица44672342[[#This Row],[Столбец9]]/Таблица44672342[[#This Row],[Столбец8]]*100</f>
        <v>27.721395073876959</v>
      </c>
      <c r="K12" s="37">
        <v>935855</v>
      </c>
      <c r="L12" s="37">
        <v>329158.7</v>
      </c>
      <c r="M12" s="37">
        <f>Таблица44672342[[#This Row],[Столбец12]]/Таблица44672342[[#This Row],[Столбец11]]*100</f>
        <v>35.171976427972282</v>
      </c>
      <c r="N12" s="37">
        <v>0</v>
      </c>
      <c r="O12" s="26">
        <v>0</v>
      </c>
      <c r="P12" s="37">
        <v>0</v>
      </c>
      <c r="Q12" s="37">
        <v>0</v>
      </c>
      <c r="R12" s="26">
        <v>0</v>
      </c>
      <c r="S12" s="26">
        <v>0</v>
      </c>
      <c r="T12" s="20"/>
      <c r="U12" s="75"/>
      <c r="V12" s="91"/>
    </row>
    <row r="13" spans="1:22" ht="51" customHeight="1" x14ac:dyDescent="0.25">
      <c r="A13" s="56" t="s">
        <v>132</v>
      </c>
      <c r="B13" s="58" t="s">
        <v>196</v>
      </c>
      <c r="C13" s="44"/>
      <c r="D13" s="44"/>
      <c r="E13" s="30">
        <f>Таблица44672342[[#This Row],[Столбец8]]+Таблица44672342[[#This Row],[Столбец11]]+Таблица44672342[[#This Row],[Столбец14]]+Таблица44672342[[#This Row],[Столбец17]]</f>
        <v>970208.8</v>
      </c>
      <c r="F13" s="26">
        <f>Таблица44672342[[#This Row],[Столбец9]]+Таблица44672342[[#This Row],[Столбец12]]+Таблица44672342[[#This Row],[Столбец15]]+Таблица44672342[[#This Row],[Столбец18]]</f>
        <v>949188.8</v>
      </c>
      <c r="G13" s="26">
        <f>Таблица44672342[[#This Row],[Столбец6]]/Таблица44672342[[#This Row],[Столбец5]]*100</f>
        <v>97.833456056057216</v>
      </c>
      <c r="H13" s="37">
        <v>386500</v>
      </c>
      <c r="I13" s="37">
        <v>386500</v>
      </c>
      <c r="J13" s="26">
        <f>Таблица44672342[[#This Row],[Столбец9]]/Таблица44672342[[#This Row],[Столбец8]]*100</f>
        <v>100</v>
      </c>
      <c r="K13" s="37">
        <v>172222.8</v>
      </c>
      <c r="L13" s="37">
        <v>151202.79999999999</v>
      </c>
      <c r="M13" s="26">
        <f>Таблица44672342[[#This Row],[Столбец12]]/Таблица44672342[[#This Row],[Столбец11]]*100</f>
        <v>87.794879655887598</v>
      </c>
      <c r="N13" s="37">
        <v>0</v>
      </c>
      <c r="O13" s="26">
        <v>0</v>
      </c>
      <c r="P13" s="37">
        <v>0</v>
      </c>
      <c r="Q13" s="37">
        <v>411486</v>
      </c>
      <c r="R13" s="37">
        <v>411486</v>
      </c>
      <c r="S13" s="26">
        <f>Таблица44672342[[#This Row],[Столбец18]]/Таблица44672342[[#This Row],[Столбец17]]*100</f>
        <v>100</v>
      </c>
      <c r="T13" s="20"/>
      <c r="U13" s="75"/>
      <c r="V13" s="91"/>
    </row>
    <row r="14" spans="1:22" ht="55.9" customHeight="1" x14ac:dyDescent="0.25">
      <c r="A14" s="59" t="s">
        <v>224</v>
      </c>
      <c r="B14" s="58" t="s">
        <v>293</v>
      </c>
      <c r="C14" s="44"/>
      <c r="D14" s="44"/>
      <c r="E14" s="30">
        <f>Таблица44672342[[#This Row],[Столбец8]]+Таблица44672342[[#This Row],[Столбец11]]+Таблица44672342[[#This Row],[Столбец14]]+Таблица44672342[[#This Row],[Столбец17]]</f>
        <v>599023.5</v>
      </c>
      <c r="F14" s="26">
        <f>Таблица44672342[[#This Row],[Столбец9]]+Таблица44672342[[#This Row],[Столбец12]]+Таблица44672342[[#This Row],[Столбец15]]+Таблица44672342[[#This Row],[Столбец18]]</f>
        <v>0</v>
      </c>
      <c r="G14" s="26">
        <f>Таблица44672342[[#This Row],[Столбец6]]/Таблица44672342[[#This Row],[Столбец5]]*100</f>
        <v>0</v>
      </c>
      <c r="H14" s="37">
        <v>599023.5</v>
      </c>
      <c r="I14" s="37">
        <v>0</v>
      </c>
      <c r="J14" s="26">
        <f>Таблица44672342[[#This Row],[Столбец9]]/Таблица44672342[[#This Row],[Столбец8]]*100</f>
        <v>0</v>
      </c>
      <c r="K14" s="37">
        <v>0</v>
      </c>
      <c r="L14" s="37">
        <v>0</v>
      </c>
      <c r="M14" s="37">
        <v>0</v>
      </c>
      <c r="N14" s="37">
        <v>0</v>
      </c>
      <c r="O14" s="26">
        <v>0</v>
      </c>
      <c r="P14" s="37">
        <v>0</v>
      </c>
      <c r="Q14" s="37">
        <v>0</v>
      </c>
      <c r="R14" s="26">
        <v>0</v>
      </c>
      <c r="S14" s="26">
        <v>0</v>
      </c>
      <c r="T14" s="20"/>
      <c r="U14" s="75"/>
      <c r="V14" s="91"/>
    </row>
    <row r="15" spans="1:22" ht="58.9" customHeight="1" x14ac:dyDescent="0.25">
      <c r="A15" s="60" t="s">
        <v>142</v>
      </c>
      <c r="B15" s="74" t="s">
        <v>231</v>
      </c>
      <c r="C15" s="49" t="s">
        <v>30</v>
      </c>
      <c r="D15" s="49" t="s">
        <v>26</v>
      </c>
      <c r="E15" s="36">
        <f>SUM(Таблица44672342[[#This Row],[Столбец8]]+Таблица44672342[[#This Row],[Столбец11]]+Таблица44672342[[#This Row],[Столбец14]]+Таблица44672342[[#This Row],[Столбец17]])</f>
        <v>1076766.67</v>
      </c>
      <c r="F15" s="36">
        <f>SUM(Таблица44672342[[#This Row],[Столбец9]]+Таблица44672342[[#This Row],[Столбец12]]+Таблица44672342[[#This Row],[Столбец15]]+Таблица44672342[[#This Row],[Столбец18]])</f>
        <v>82350.092000000004</v>
      </c>
      <c r="G15" s="36">
        <f>Таблица44672342[[#This Row],[Столбец6]]/Таблица44672342[[#This Row],[Столбец5]]*100</f>
        <v>7.6479050006256237</v>
      </c>
      <c r="H15" s="36">
        <v>319330</v>
      </c>
      <c r="I15" s="36">
        <v>29330</v>
      </c>
      <c r="J15" s="36">
        <f>Таблица44672342[[#This Row],[Столбец9]]/Таблица44672342[[#This Row],[Столбец8]]*100</f>
        <v>9.18485579181411</v>
      </c>
      <c r="K15" s="36">
        <v>183000</v>
      </c>
      <c r="L15" s="36">
        <v>5750</v>
      </c>
      <c r="M15" s="36">
        <v>0</v>
      </c>
      <c r="N15" s="51">
        <v>0</v>
      </c>
      <c r="O15" s="36">
        <v>0</v>
      </c>
      <c r="P15" s="36">
        <v>0</v>
      </c>
      <c r="Q15" s="36">
        <v>574436.67000000004</v>
      </c>
      <c r="R15" s="36">
        <v>47270.091999999997</v>
      </c>
      <c r="S15" s="40">
        <f>Таблица44672342[[#This Row],[Столбец18]]/Таблица44672342[[#This Row],[Столбец17]]*100</f>
        <v>8.2289475008620183</v>
      </c>
      <c r="T15" s="20"/>
      <c r="U15" s="75"/>
      <c r="V15" s="91"/>
    </row>
    <row r="16" spans="1:22" ht="54" customHeight="1" x14ac:dyDescent="0.25">
      <c r="A16" s="38" t="s">
        <v>179</v>
      </c>
      <c r="B16" s="55" t="s">
        <v>362</v>
      </c>
      <c r="C16" s="50" t="s">
        <v>31</v>
      </c>
      <c r="D16" s="35" t="s">
        <v>17</v>
      </c>
      <c r="E16" s="36">
        <f>SUM(E17:E27)</f>
        <v>63923816.200000003</v>
      </c>
      <c r="F16" s="36">
        <f>SUM(F17:F27)</f>
        <v>63921803.899999999</v>
      </c>
      <c r="G16" s="36">
        <f>Таблица44672342[[#This Row],[Столбец6]]/Таблица44672342[[#This Row],[Столбец5]]*100</f>
        <v>99.996852033999801</v>
      </c>
      <c r="H16" s="36">
        <f>SUM(H17:H27)</f>
        <v>12482711.799999997</v>
      </c>
      <c r="I16" s="36">
        <f>SUM(I17:I27)</f>
        <v>12480699.499999998</v>
      </c>
      <c r="J16" s="36">
        <f>Таблица44672342[[#This Row],[Столбец9]]/Таблица44672342[[#This Row],[Столбец8]]*100</f>
        <v>99.983879304174934</v>
      </c>
      <c r="K16" s="36">
        <f>SUM(K17:K27)</f>
        <v>2537581.4000000004</v>
      </c>
      <c r="L16" s="36">
        <f>SUM(L17:L27)</f>
        <v>2537581.4000000004</v>
      </c>
      <c r="M16" s="36">
        <f>Таблица44672342[[#This Row],[Столбец12]]/Таблица44672342[[#This Row],[Столбец11]]*100</f>
        <v>100</v>
      </c>
      <c r="N16" s="36">
        <v>0</v>
      </c>
      <c r="O16" s="36">
        <f>O17+O18+O19+O20+O21+O22+O23+O25+O26</f>
        <v>0</v>
      </c>
      <c r="P16" s="36">
        <v>0</v>
      </c>
      <c r="Q16" s="36">
        <f>SUM(Q17:Q26)</f>
        <v>48903523.000000007</v>
      </c>
      <c r="R16" s="36">
        <f>SUM(R17:R26)</f>
        <v>48903523</v>
      </c>
      <c r="S16" s="51">
        <f>Таблица44672342[[#This Row],[Столбец18]]/Таблица44672342[[#This Row],[Столбец17]]*100</f>
        <v>99.999999999999986</v>
      </c>
      <c r="T16" s="20"/>
      <c r="U16" s="75"/>
      <c r="V16" s="91"/>
    </row>
    <row r="17" spans="1:22" ht="78.599999999999994" customHeight="1" x14ac:dyDescent="0.25">
      <c r="A17" s="61" t="s">
        <v>133</v>
      </c>
      <c r="B17" s="53" t="s">
        <v>197</v>
      </c>
      <c r="C17" s="54"/>
      <c r="D17" s="54"/>
      <c r="E17" s="30">
        <f>Таблица44672342[[#This Row],[Столбец8]]+Таблица44672342[[#This Row],[Столбец11]]+Таблица44672342[[#This Row],[Столбец14]]+Таблица44672342[[#This Row],[Столбец17]]</f>
        <v>2077774.5</v>
      </c>
      <c r="F17" s="30">
        <f>Таблица44672342[[#This Row],[Столбец9]]+Таблица44672342[[#This Row],[Столбец12]]+Таблица44672342[[#This Row],[Столбец15]]+Таблица44672342[[#This Row],[Столбец18]]</f>
        <v>2090724.5</v>
      </c>
      <c r="G17" s="25">
        <f>Таблица44672342[[#This Row],[Столбец6]]/Таблица44672342[[#This Row],[Столбец5]]*100</f>
        <v>100.62326301530797</v>
      </c>
      <c r="H17" s="25">
        <v>342694.5</v>
      </c>
      <c r="I17" s="25">
        <v>355644.5</v>
      </c>
      <c r="J17" s="25">
        <f>Таблица44672342[[#This Row],[Столбец9]]/Таблица44672342[[#This Row],[Столбец8]]*100</f>
        <v>103.77887593760624</v>
      </c>
      <c r="K17" s="25">
        <v>1735080</v>
      </c>
      <c r="L17" s="25">
        <v>1735080</v>
      </c>
      <c r="M17" s="25">
        <f>Таблица44672342[[#This Row],[Столбец12]]/Таблица44672342[[#This Row],[Столбец11]]*100</f>
        <v>100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37">
        <v>0</v>
      </c>
      <c r="T17" s="20"/>
      <c r="U17" s="75"/>
      <c r="V17" s="91"/>
    </row>
    <row r="18" spans="1:22" ht="115.9" customHeight="1" x14ac:dyDescent="0.25">
      <c r="A18" s="62" t="s">
        <v>134</v>
      </c>
      <c r="B18" s="53" t="s">
        <v>65</v>
      </c>
      <c r="C18" s="54"/>
      <c r="D18" s="54"/>
      <c r="E18" s="30">
        <f>Таблица44672342[[#This Row],[Столбец8]]+Таблица44672342[[#This Row],[Столбец11]]+Таблица44672342[[#This Row],[Столбец14]]+Таблица44672342[[#This Row],[Столбец17]]</f>
        <v>9102321.6999999993</v>
      </c>
      <c r="F18" s="30">
        <f>Таблица44672342[[#This Row],[Столбец9]]+Таблица44672342[[#This Row],[Столбец12]]+Таблица44672342[[#This Row],[Столбец15]]+Таблица44672342[[#This Row],[Столбец18]]</f>
        <v>9102321.6999999993</v>
      </c>
      <c r="G18" s="25">
        <f>Таблица44672342[[#This Row],[Столбец6]]/Таблица44672342[[#This Row],[Столбец5]]*100</f>
        <v>100</v>
      </c>
      <c r="H18" s="25">
        <v>1021403</v>
      </c>
      <c r="I18" s="25">
        <v>1021403</v>
      </c>
      <c r="J18" s="25">
        <f>Таблица44672342[[#This Row],[Столбец9]]/Таблица44672342[[#This Row],[Столбец8]]*100</f>
        <v>100</v>
      </c>
      <c r="K18" s="25">
        <v>579367.1</v>
      </c>
      <c r="L18" s="25">
        <v>579367.1</v>
      </c>
      <c r="M18" s="25">
        <f>Таблица44672342[[#This Row],[Столбец12]]/Таблица44672342[[#This Row],[Столбец11]]*100</f>
        <v>100</v>
      </c>
      <c r="N18" s="25">
        <v>0</v>
      </c>
      <c r="O18" s="25">
        <v>0</v>
      </c>
      <c r="P18" s="25">
        <v>0</v>
      </c>
      <c r="Q18" s="25">
        <v>7501551.5999999996</v>
      </c>
      <c r="R18" s="25">
        <v>7501551.5999999996</v>
      </c>
      <c r="S18" s="37">
        <v>100</v>
      </c>
      <c r="T18" s="20"/>
      <c r="U18" s="75"/>
      <c r="V18" s="91"/>
    </row>
    <row r="19" spans="1:22" ht="40.5" customHeight="1" x14ac:dyDescent="0.25">
      <c r="A19" s="62" t="s">
        <v>135</v>
      </c>
      <c r="B19" s="53" t="s">
        <v>66</v>
      </c>
      <c r="C19" s="54"/>
      <c r="D19" s="54"/>
      <c r="E19" s="30">
        <f>Таблица44672342[[#This Row],[Столбец8]]+Таблица44672342[[#This Row],[Столбец11]]+Таблица44672342[[#This Row],[Столбец14]]+Таблица44672342[[#This Row],[Столбец17]]</f>
        <v>207468.2</v>
      </c>
      <c r="F19" s="30">
        <f>Таблица44672342[[#This Row],[Столбец9]]+Таблица44672342[[#This Row],[Столбец12]]+Таблица44672342[[#This Row],[Столбец15]]+Таблица44672342[[#This Row],[Столбец18]]</f>
        <v>206964.4</v>
      </c>
      <c r="G19" s="25">
        <f>Таблица44672342[[#This Row],[Столбец6]]/Таблица44672342[[#This Row],[Столбец5]]*100</f>
        <v>99.757167604481069</v>
      </c>
      <c r="H19" s="25">
        <v>207468.2</v>
      </c>
      <c r="I19" s="25">
        <v>206964.4</v>
      </c>
      <c r="J19" s="25">
        <f>Таблица44672342[[#This Row],[Столбец9]]/Таблица44672342[[#This Row],[Столбец8]]*100</f>
        <v>99.757167604481069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0"/>
      <c r="U19" s="75"/>
      <c r="V19" s="91"/>
    </row>
    <row r="20" spans="1:22" ht="39.75" customHeight="1" x14ac:dyDescent="0.25">
      <c r="A20" s="61" t="s">
        <v>136</v>
      </c>
      <c r="B20" s="53" t="s">
        <v>67</v>
      </c>
      <c r="C20" s="54"/>
      <c r="D20" s="54"/>
      <c r="E20" s="30">
        <f>Таблица44672342[[#This Row],[Столбец8]]+Таблица44672342[[#This Row],[Столбец11]]+Таблица44672342[[#This Row],[Столбец14]]+Таблица44672342[[#This Row],[Столбец17]]</f>
        <v>271524</v>
      </c>
      <c r="F20" s="30">
        <f>Таблица44672342[[#This Row],[Столбец9]]+Таблица44672342[[#This Row],[Столбец12]]+Таблица44672342[[#This Row],[Столбец15]]+Таблица44672342[[#This Row],[Столбец18]]</f>
        <v>271524</v>
      </c>
      <c r="G20" s="25">
        <f>Таблица44672342[[#This Row],[Столбец6]]/Таблица44672342[[#This Row],[Столбец5]]*100</f>
        <v>100</v>
      </c>
      <c r="H20" s="25">
        <v>271524</v>
      </c>
      <c r="I20" s="25">
        <v>271524</v>
      </c>
      <c r="J20" s="25">
        <f>Таблица44672342[[#This Row],[Столбец9]]/Таблица44672342[[#This Row],[Столбец8]]*100</f>
        <v>100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0"/>
      <c r="U20" s="75"/>
      <c r="V20" s="91"/>
    </row>
    <row r="21" spans="1:22" ht="71.25" customHeight="1" x14ac:dyDescent="0.25">
      <c r="A21" s="62" t="s">
        <v>137</v>
      </c>
      <c r="B21" s="53" t="s">
        <v>68</v>
      </c>
      <c r="C21" s="54"/>
      <c r="D21" s="54"/>
      <c r="E21" s="30">
        <f>Таблица44672342[[#This Row],[Столбец8]]+Таблица44672342[[#This Row],[Столбец11]]+Таблица44672342[[#This Row],[Столбец14]]+Таблица44672342[[#This Row],[Столбец17]]</f>
        <v>142835.20000000001</v>
      </c>
      <c r="F21" s="30">
        <f>Таблица44672342[[#This Row],[Столбец9]]+Таблица44672342[[#This Row],[Столбец12]]+Таблица44672342[[#This Row],[Столбец15]]+Таблица44672342[[#This Row],[Столбец18]]</f>
        <v>142835.20000000001</v>
      </c>
      <c r="G21" s="25">
        <f>Таблица44672342[[#This Row],[Столбец6]]/Таблица44672342[[#This Row],[Столбец5]]*100</f>
        <v>100</v>
      </c>
      <c r="H21" s="25">
        <v>142835.20000000001</v>
      </c>
      <c r="I21" s="25">
        <v>142835.20000000001</v>
      </c>
      <c r="J21" s="25">
        <f>Таблица44672342[[#This Row],[Столбец9]]/Таблица44672342[[#This Row],[Столбец8]]*100</f>
        <v>100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0"/>
      <c r="U21" s="75"/>
      <c r="V21" s="91"/>
    </row>
    <row r="22" spans="1:22" ht="39" customHeight="1" x14ac:dyDescent="0.25">
      <c r="A22" s="61" t="s">
        <v>138</v>
      </c>
      <c r="B22" s="53" t="s">
        <v>69</v>
      </c>
      <c r="C22" s="54"/>
      <c r="D22" s="54"/>
      <c r="E22" s="30">
        <f>Таблица44672342[[#This Row],[Столбец8]]+Таблица44672342[[#This Row],[Столбец11]]+Таблица44672342[[#This Row],[Столбец14]]+Таблица44672342[[#This Row],[Столбец17]]</f>
        <v>178279.6</v>
      </c>
      <c r="F22" s="30">
        <f>Таблица44672342[[#This Row],[Столбец9]]+Таблица44672342[[#This Row],[Столбец12]]+Таблица44672342[[#This Row],[Столбец15]]+Таблица44672342[[#This Row],[Столбец18]]</f>
        <v>178279.6</v>
      </c>
      <c r="G22" s="25">
        <f>Таблица44672342[[#This Row],[Столбец6]]/Таблица44672342[[#This Row],[Столбец5]]*100</f>
        <v>100</v>
      </c>
      <c r="H22" s="25">
        <v>149518</v>
      </c>
      <c r="I22" s="25">
        <v>149518</v>
      </c>
      <c r="J22" s="25">
        <f>Таблица44672342[[#This Row],[Столбец9]]/Таблица44672342[[#This Row],[Столбец8]]*100</f>
        <v>100</v>
      </c>
      <c r="K22" s="25">
        <v>28761.599999999999</v>
      </c>
      <c r="L22" s="25">
        <v>28761.599999999999</v>
      </c>
      <c r="M22" s="25">
        <f>Таблица44672342[[#This Row],[Столбец12]]/Таблица44672342[[#This Row],[Столбец11]]*100</f>
        <v>100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0"/>
      <c r="U22" s="75"/>
      <c r="V22" s="91"/>
    </row>
    <row r="23" spans="1:22" ht="67.5" customHeight="1" x14ac:dyDescent="0.25">
      <c r="A23" s="62" t="s">
        <v>139</v>
      </c>
      <c r="B23" s="53" t="s">
        <v>70</v>
      </c>
      <c r="C23" s="54"/>
      <c r="D23" s="54"/>
      <c r="E23" s="30">
        <f>Таблица44672342[[#This Row],[Столбец8]]+Таблица44672342[[#This Row],[Столбец11]]+Таблица44672342[[#This Row],[Столбец14]]+Таблица44672342[[#This Row],[Столбец17]]</f>
        <v>1051418.1000000001</v>
      </c>
      <c r="F23" s="30">
        <f>Таблица44672342[[#This Row],[Столбец9]]+Таблица44672342[[#This Row],[Столбец12]]+Таблица44672342[[#This Row],[Столбец15]]+Таблица44672342[[#This Row],[Столбец18]]</f>
        <v>1052131.3999999999</v>
      </c>
      <c r="G23" s="25">
        <f>Таблица44672342[[#This Row],[Столбец6]]/Таблица44672342[[#This Row],[Столбец5]]*100</f>
        <v>100.06784170826046</v>
      </c>
      <c r="H23" s="25">
        <v>1045581.4</v>
      </c>
      <c r="I23" s="25">
        <v>1046294.7</v>
      </c>
      <c r="J23" s="25">
        <f>Таблица44672342[[#This Row],[Столбец9]]/Таблица44672342[[#This Row],[Столбец8]]*100</f>
        <v>100.06822041784599</v>
      </c>
      <c r="K23" s="25">
        <v>5836.7</v>
      </c>
      <c r="L23" s="25">
        <v>5836.7</v>
      </c>
      <c r="M23" s="25">
        <f>Таблица44672342[[#This Row],[Столбец12]]/Таблица44672342[[#This Row],[Столбец11]]*100</f>
        <v>100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0"/>
      <c r="U23" s="75"/>
      <c r="V23" s="91"/>
    </row>
    <row r="24" spans="1:22" ht="51.75" customHeight="1" x14ac:dyDescent="0.25">
      <c r="A24" s="62" t="s">
        <v>140</v>
      </c>
      <c r="B24" s="29" t="s">
        <v>291</v>
      </c>
      <c r="C24" s="28"/>
      <c r="D24" s="27"/>
      <c r="E24" s="30">
        <f>Таблица44672342[[#This Row],[Столбец8]]+Таблица44672342[[#This Row],[Столбец11]]+Таблица44672342[[#This Row],[Столбец14]]+Таблица44672342[[#This Row],[Столбец17]]</f>
        <v>6654776.0999999996</v>
      </c>
      <c r="F24" s="30">
        <f>Таблица44672342[[#This Row],[Столбец9]]+Таблица44672342[[#This Row],[Столбец12]]+Таблица44672342[[#This Row],[Столбец15]]+Таблица44672342[[#This Row],[Столбец18]]</f>
        <v>6654776.0999999996</v>
      </c>
      <c r="G24" s="26">
        <f>Таблица44672342[[#This Row],[Столбец6]]/Таблица44672342[[#This Row],[Столбец5]]*100</f>
        <v>100</v>
      </c>
      <c r="H24" s="26">
        <v>6654776.0999999996</v>
      </c>
      <c r="I24" s="26">
        <v>6654776.0999999996</v>
      </c>
      <c r="J24" s="26">
        <f>Таблица44672342[[#This Row],[Столбец9]]/Таблица44672342[[#This Row],[Столбец8]]*100</f>
        <v>100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0"/>
      <c r="U24" s="75"/>
      <c r="V24" s="91"/>
    </row>
    <row r="25" spans="1:22" ht="73.5" customHeight="1" x14ac:dyDescent="0.25">
      <c r="A25" s="62" t="s">
        <v>141</v>
      </c>
      <c r="B25" s="47" t="s">
        <v>71</v>
      </c>
      <c r="C25" s="54"/>
      <c r="D25" s="54"/>
      <c r="E25" s="30">
        <f>Таблица44672342[[#This Row],[Столбец8]]+Таблица44672342[[#This Row],[Столбец11]]+Таблица44672342[[#This Row],[Столбец14]]+Таблица44672342[[#This Row],[Столбец17]]</f>
        <v>43921611.200000003</v>
      </c>
      <c r="F25" s="30">
        <f>Таблица44672342[[#This Row],[Столбец9]]+Таблица44672342[[#This Row],[Столбец12]]+Таблица44672342[[#This Row],[Столбец15]]+Таблица44672342[[#This Row],[Столбец18]]</f>
        <v>43906439.399999999</v>
      </c>
      <c r="G25" s="25">
        <f>Таблица44672342[[#This Row],[Столбец6]]/Таблица44672342[[#This Row],[Столбец5]]*100</f>
        <v>99.965457095981932</v>
      </c>
      <c r="H25" s="48">
        <v>2514272.2000000002</v>
      </c>
      <c r="I25" s="25">
        <v>2499100.4</v>
      </c>
      <c r="J25" s="25">
        <f>Таблица44672342[[#This Row],[Столбец9]]/Таблица44672342[[#This Row],[Столбец8]]*100</f>
        <v>99.396572892942928</v>
      </c>
      <c r="K25" s="25">
        <v>5367.6</v>
      </c>
      <c r="L25" s="25">
        <v>5367.6</v>
      </c>
      <c r="M25" s="25">
        <f>Таблица44672342[[#This Row],[Столбец12]]/Таблица44672342[[#This Row],[Столбец11]]*100</f>
        <v>100</v>
      </c>
      <c r="N25" s="25">
        <v>0</v>
      </c>
      <c r="O25" s="25">
        <v>0</v>
      </c>
      <c r="P25" s="25">
        <v>0</v>
      </c>
      <c r="Q25" s="25">
        <f>14218877.8+27183093.6</f>
        <v>41401971.400000006</v>
      </c>
      <c r="R25" s="25">
        <v>41401971.399999999</v>
      </c>
      <c r="S25" s="25">
        <f>Таблица44672342[[#This Row],[Столбец18]]/Таблица44672342[[#This Row],[Столбец17]]*100</f>
        <v>99.999999999999972</v>
      </c>
      <c r="T25" s="20"/>
      <c r="U25" s="75"/>
      <c r="V25" s="91"/>
    </row>
    <row r="26" spans="1:22" ht="110.25" x14ac:dyDescent="0.25">
      <c r="A26" s="62" t="s">
        <v>289</v>
      </c>
      <c r="B26" s="79" t="s">
        <v>288</v>
      </c>
      <c r="C26" s="54"/>
      <c r="D26" s="54"/>
      <c r="E26" s="30">
        <f>Таблица44672342[[#This Row],[Столбец8]]+Таблица44672342[[#This Row],[Столбец11]]+Таблица44672342[[#This Row],[Столбец14]]+Таблица44672342[[#This Row],[Столбец17]]</f>
        <v>0</v>
      </c>
      <c r="F26" s="30">
        <f>Таблица44672342[[#This Row],[Столбец9]]+Таблица44672342[[#This Row],[Столбец12]]+Таблица44672342[[#This Row],[Столбец15]]+Таблица44672342[[#This Row],[Столбец18]]</f>
        <v>0</v>
      </c>
      <c r="G26" s="25">
        <v>0</v>
      </c>
      <c r="H26" s="25">
        <v>0</v>
      </c>
      <c r="I26" s="25">
        <v>0</v>
      </c>
      <c r="J26" s="25">
        <v>0</v>
      </c>
      <c r="K26" s="37">
        <v>0</v>
      </c>
      <c r="L26" s="37">
        <v>0</v>
      </c>
      <c r="M26" s="25">
        <v>0</v>
      </c>
      <c r="N26" s="25">
        <v>0</v>
      </c>
      <c r="O26" s="25">
        <v>0</v>
      </c>
      <c r="P26" s="63">
        <v>0</v>
      </c>
      <c r="Q26" s="25">
        <v>0</v>
      </c>
      <c r="R26" s="25">
        <v>0</v>
      </c>
      <c r="S26" s="63">
        <v>0</v>
      </c>
      <c r="T26" s="20"/>
      <c r="U26" s="75"/>
      <c r="V26" s="91"/>
    </row>
    <row r="27" spans="1:22" s="11" customFormat="1" ht="98.45" customHeight="1" x14ac:dyDescent="0.25">
      <c r="A27" s="102" t="s">
        <v>350</v>
      </c>
      <c r="B27" s="103" t="s">
        <v>351</v>
      </c>
      <c r="C27" s="99"/>
      <c r="D27" s="99"/>
      <c r="E27" s="100">
        <f>Таблица44672342[[#This Row],[Столбец8]]+Таблица44672342[[#This Row],[Столбец11]]+Таблица44672342[[#This Row],[Столбец14]]+Таблица44672342[[#This Row],[Столбец17]]</f>
        <v>315807.59999999998</v>
      </c>
      <c r="F27" s="100">
        <f>Таблица44672342[[#This Row],[Столбец9]]+Таблица44672342[[#This Row],[Столбец12]]+Таблица44672342[[#This Row],[Столбец15]]+Таблица44672342[[#This Row],[Столбец18]]</f>
        <v>315807.59999999998</v>
      </c>
      <c r="G27" s="98">
        <f>Таблица44672342[[#This Row],[Столбец6]]/Таблица44672342[[#This Row],[Столбец5]]*100</f>
        <v>100</v>
      </c>
      <c r="H27" s="98">
        <v>132639.20000000001</v>
      </c>
      <c r="I27" s="98">
        <v>132639.20000000001</v>
      </c>
      <c r="J27" s="98">
        <f>Таблица44672342[[#This Row],[Столбец9]]/Таблица44672342[[#This Row],[Столбец8]]*100</f>
        <v>100</v>
      </c>
      <c r="K27" s="98">
        <v>183168.4</v>
      </c>
      <c r="L27" s="98">
        <v>183168.4</v>
      </c>
      <c r="M27" s="98">
        <f>Таблица44672342[[#This Row],[Столбец12]]/Таблица44672342[[#This Row],[Столбец11]]*100</f>
        <v>100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87"/>
      <c r="U27" s="86"/>
      <c r="V27" s="101"/>
    </row>
    <row r="28" spans="1:22" ht="60.75" customHeight="1" x14ac:dyDescent="0.25">
      <c r="A28" s="38">
        <v>4</v>
      </c>
      <c r="B28" s="55" t="s">
        <v>321</v>
      </c>
      <c r="C28" s="50" t="s">
        <v>32</v>
      </c>
      <c r="D28" s="50" t="s">
        <v>18</v>
      </c>
      <c r="E28" s="36">
        <f>Таблица44672342[[#This Row],[Столбец8]]+Таблица44672342[[#This Row],[Столбец11]]+Таблица44672342[[#This Row],[Столбец14]]+Таблица44672342[[#This Row],[Столбец17]]</f>
        <v>868082.5</v>
      </c>
      <c r="F28" s="36">
        <f>Таблица44672342[[#This Row],[Столбец9]]+Таблица44672342[[#This Row],[Столбец12]]+Таблица44672342[[#This Row],[Столбец15]]+Таблица44672342[[#This Row],[Столбец18]]</f>
        <v>806333.70000000007</v>
      </c>
      <c r="G28" s="51">
        <f>Таблица44672342[[#This Row],[Столбец6]]/Таблица44672342[[#This Row],[Столбец5]]*100</f>
        <v>92.886759034999571</v>
      </c>
      <c r="H28" s="51">
        <f>SUM(H29:H33)</f>
        <v>513194.5</v>
      </c>
      <c r="I28" s="51">
        <f>SUM(I29:I33)</f>
        <v>565250.30000000005</v>
      </c>
      <c r="J28" s="36">
        <f>Таблица44672342[[#This Row],[Столбец9]]/Таблица44672342[[#This Row],[Столбец8]]*100</f>
        <v>110.14348361098961</v>
      </c>
      <c r="K28" s="51">
        <f>SUM(K29:K33)</f>
        <v>342459.1</v>
      </c>
      <c r="L28" s="51">
        <f>SUM(L29:L33)</f>
        <v>241083.40000000002</v>
      </c>
      <c r="M28" s="51">
        <f>Таблица44672342[[#This Row],[Столбец12]]/Таблица44672342[[#This Row],[Столбец11]]*100</f>
        <v>70.397720486913627</v>
      </c>
      <c r="N28" s="51">
        <v>0</v>
      </c>
      <c r="O28" s="51">
        <v>0</v>
      </c>
      <c r="P28" s="51">
        <v>0</v>
      </c>
      <c r="Q28" s="51">
        <f>SUM(Q29:Q33)</f>
        <v>12428.9</v>
      </c>
      <c r="R28" s="51">
        <f>SUM(R29:R33)</f>
        <v>0</v>
      </c>
      <c r="S28" s="51">
        <f>Таблица44672342[[#This Row],[Столбец18]]/Таблица44672342[[#This Row],[Столбец17]]*100</f>
        <v>0</v>
      </c>
      <c r="T28" s="20"/>
      <c r="U28" s="75"/>
      <c r="V28" s="91"/>
    </row>
    <row r="29" spans="1:22" ht="41.25" customHeight="1" x14ac:dyDescent="0.25">
      <c r="A29" s="61" t="s">
        <v>116</v>
      </c>
      <c r="B29" s="53" t="s">
        <v>322</v>
      </c>
      <c r="C29" s="54"/>
      <c r="D29" s="54"/>
      <c r="E29" s="30">
        <f>Таблица44672342[[#This Row],[Столбец8]]+Таблица44672342[[#This Row],[Столбец11]]+Таблица44672342[[#This Row],[Столбец14]]+Таблица44672342[[#This Row],[Столбец17]]</f>
        <v>143850.19999999998</v>
      </c>
      <c r="F29" s="37">
        <f>Таблица44672342[[#This Row],[Столбец9]]+Таблица44672342[[#This Row],[Столбец12]]+Таблица44672342[[#This Row],[Столбец15]]+Таблица44672342[[#This Row],[Столбец18]]</f>
        <v>129421</v>
      </c>
      <c r="G29" s="25">
        <f>Таблица44672342[[#This Row],[Столбец6]]/Таблица44672342[[#This Row],[Столбец5]]*100</f>
        <v>89.969287494907917</v>
      </c>
      <c r="H29" s="25">
        <v>134019.4</v>
      </c>
      <c r="I29" s="25">
        <v>121201.3</v>
      </c>
      <c r="J29" s="25">
        <f>Таблица44672342[[#This Row],[Столбец9]]/Таблица44672342[[#This Row],[Столбец8]]*100</f>
        <v>90.43563842249705</v>
      </c>
      <c r="K29" s="25">
        <v>9830.7999999999993</v>
      </c>
      <c r="L29" s="25">
        <v>8219.7000000000007</v>
      </c>
      <c r="M29" s="25">
        <f>Таблица44672342[[#This Row],[Столбец12]]/Таблица44672342[[#This Row],[Столбец11]]*100</f>
        <v>83.611710135492544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6">
        <v>0</v>
      </c>
      <c r="T29" s="20" t="s">
        <v>278</v>
      </c>
      <c r="U29" s="75"/>
      <c r="V29" s="91"/>
    </row>
    <row r="30" spans="1:22" ht="36.75" customHeight="1" x14ac:dyDescent="0.25">
      <c r="A30" s="61" t="s">
        <v>117</v>
      </c>
      <c r="B30" s="53" t="s">
        <v>323</v>
      </c>
      <c r="C30" s="54"/>
      <c r="D30" s="54"/>
      <c r="E30" s="30">
        <f>Таблица44672342[[#This Row],[Столбец8]]+Таблица44672342[[#This Row],[Столбец11]]+Таблица44672342[[#This Row],[Столбец14]]+Таблица44672342[[#This Row],[Столбец17]]</f>
        <v>242131.9</v>
      </c>
      <c r="F30" s="37">
        <f>Таблица44672342[[#This Row],[Столбец9]]+Таблица44672342[[#This Row],[Столбец12]]+Таблица44672342[[#This Row],[Столбец15]]+Таблица44672342[[#This Row],[Столбец18]]</f>
        <v>305950.3</v>
      </c>
      <c r="G30" s="25">
        <f>Таблица44672342[[#This Row],[Столбец6]]/Таблица44672342[[#This Row],[Столбец5]]*100</f>
        <v>126.35687408391871</v>
      </c>
      <c r="H30" s="25">
        <v>221532.2</v>
      </c>
      <c r="I30" s="25">
        <v>299445.5</v>
      </c>
      <c r="J30" s="25">
        <f>Таблица44672342[[#This Row],[Столбец9]]/Таблица44672342[[#This Row],[Столбец8]]*100</f>
        <v>135.1701919630645</v>
      </c>
      <c r="K30" s="25">
        <v>8170.8</v>
      </c>
      <c r="L30" s="25">
        <v>6504.8</v>
      </c>
      <c r="M30" s="25">
        <f>Таблица44672342[[#This Row],[Столбец12]]/Таблица44672342[[#This Row],[Столбец11]]*100</f>
        <v>79.61031967494003</v>
      </c>
      <c r="N30" s="25">
        <v>0</v>
      </c>
      <c r="O30" s="25">
        <v>0</v>
      </c>
      <c r="P30" s="25">
        <v>0</v>
      </c>
      <c r="Q30" s="25">
        <v>12428.9</v>
      </c>
      <c r="R30" s="25">
        <v>0</v>
      </c>
      <c r="S30" s="26">
        <f>Таблица44672342[[#This Row],[Столбец18]]/Таблица44672342[[#This Row],[Столбец17]]*100</f>
        <v>0</v>
      </c>
      <c r="T30" s="20"/>
      <c r="U30" s="75"/>
      <c r="V30" s="91"/>
    </row>
    <row r="31" spans="1:22" ht="38.25" customHeight="1" x14ac:dyDescent="0.25">
      <c r="A31" s="61" t="s">
        <v>118</v>
      </c>
      <c r="B31" s="53" t="s">
        <v>324</v>
      </c>
      <c r="C31" s="54"/>
      <c r="D31" s="54"/>
      <c r="E31" s="30">
        <f>Таблица44672342[[#This Row],[Столбец8]]+Таблица44672342[[#This Row],[Столбец11]]+Таблица44672342[[#This Row],[Столбец14]]+Таблица44672342[[#This Row],[Столбец17]]</f>
        <v>190276.4</v>
      </c>
      <c r="F31" s="37">
        <f>Таблица44672342[[#This Row],[Столбец9]]+Таблица44672342[[#This Row],[Столбец12]]+Таблица44672342[[#This Row],[Столбец15]]+Таблица44672342[[#This Row],[Столбец18]]</f>
        <v>172213.3</v>
      </c>
      <c r="G31" s="25">
        <f>Таблица44672342[[#This Row],[Столбец6]]/Таблица44672342[[#This Row],[Столбец5]]*100</f>
        <v>90.506915203356797</v>
      </c>
      <c r="H31" s="25">
        <v>157642.9</v>
      </c>
      <c r="I31" s="25">
        <v>144603.5</v>
      </c>
      <c r="J31" s="25">
        <f>Таблица44672342[[#This Row],[Столбец9]]/Таблица44672342[[#This Row],[Столбец8]]*100</f>
        <v>91.728520599405371</v>
      </c>
      <c r="K31" s="25">
        <v>32633.5</v>
      </c>
      <c r="L31" s="25">
        <v>27609.8</v>
      </c>
      <c r="M31" s="25">
        <f>Таблица44672342[[#This Row],[Столбец12]]/Таблица44672342[[#This Row],[Столбец11]]*100</f>
        <v>84.605696600119501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  <c r="T31" s="20"/>
      <c r="U31" s="75"/>
      <c r="V31" s="91"/>
    </row>
    <row r="32" spans="1:22" ht="48.75" customHeight="1" x14ac:dyDescent="0.25">
      <c r="A32" s="61" t="s">
        <v>119</v>
      </c>
      <c r="B32" s="53" t="s">
        <v>325</v>
      </c>
      <c r="C32" s="54"/>
      <c r="D32" s="54"/>
      <c r="E32" s="30">
        <v>0</v>
      </c>
      <c r="F32" s="37">
        <f>Таблица44672342[[#This Row],[Столбец9]]+Таблица44672342[[#This Row],[Столбец12]]+Таблица44672342[[#This Row],[Столбец15]]+Таблица44672342[[#This Row],[Столбец18]]</f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6">
        <v>0</v>
      </c>
      <c r="T32" s="20"/>
      <c r="U32" s="75"/>
      <c r="V32" s="91"/>
    </row>
    <row r="33" spans="1:22" ht="70.5" customHeight="1" x14ac:dyDescent="0.25">
      <c r="A33" s="61" t="s">
        <v>120</v>
      </c>
      <c r="B33" s="53" t="s">
        <v>326</v>
      </c>
      <c r="C33" s="54"/>
      <c r="D33" s="54"/>
      <c r="E33" s="30">
        <f>Таблица44672342[[#This Row],[Столбец8]]+Таблица44672342[[#This Row],[Столбец11]]+Таблица44672342[[#This Row],[Столбец14]]+Таблица44672342[[#This Row],[Столбец17]]</f>
        <v>291824</v>
      </c>
      <c r="F33" s="37">
        <f>Таблица44672342[[#This Row],[Столбец9]]+Таблица44672342[[#This Row],[Столбец12]]+Таблица44672342[[#This Row],[Столбец15]]+Таблица44672342[[#This Row],[Столбец18]]</f>
        <v>198749.1</v>
      </c>
      <c r="G33" s="25">
        <f>Таблица44672342[[#This Row],[Столбец6]]/Таблица44672342[[#This Row],[Столбец5]]*100</f>
        <v>68.105810351444703</v>
      </c>
      <c r="H33" s="25">
        <v>0</v>
      </c>
      <c r="I33" s="25">
        <v>0</v>
      </c>
      <c r="J33" s="25">
        <v>0</v>
      </c>
      <c r="K33" s="25">
        <v>291824</v>
      </c>
      <c r="L33" s="25">
        <v>198749.1</v>
      </c>
      <c r="M33" s="25">
        <f>Таблица44672342[[#This Row],[Столбец12]]/Таблица44672342[[#This Row],[Столбец11]]*100</f>
        <v>68.105810351444703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6">
        <v>0</v>
      </c>
      <c r="T33" s="20"/>
      <c r="U33" s="75"/>
      <c r="V33" s="91"/>
    </row>
    <row r="34" spans="1:22" ht="67.5" customHeight="1" x14ac:dyDescent="0.25">
      <c r="A34" s="38">
        <v>5</v>
      </c>
      <c r="B34" s="39" t="s">
        <v>318</v>
      </c>
      <c r="C34" s="35" t="s">
        <v>33</v>
      </c>
      <c r="D34" s="35" t="s">
        <v>19</v>
      </c>
      <c r="E34" s="36">
        <f>Таблица44672342[[#This Row],[Столбец8]]+Таблица44672342[[#This Row],[Столбец11]]+Таблица44672342[[#This Row],[Столбец14]]+Таблица44672342[[#This Row],[Столбец17]]</f>
        <v>11175803</v>
      </c>
      <c r="F34" s="40">
        <f>SUM(Таблица44672342[[#This Row],[Столбец9]]+Таблица44672342[[#This Row],[Столбец12]]+Таблица44672342[[#This Row],[Столбец15]]+Таблица44672342[[#This Row],[Столбец18]])</f>
        <v>11208934.9</v>
      </c>
      <c r="G34" s="40">
        <f>Таблица44672342[[#This Row],[Столбец6]]/Таблица44672342[[#This Row],[Столбец5]]*100</f>
        <v>100.29646102387453</v>
      </c>
      <c r="H34" s="40">
        <v>11175803</v>
      </c>
      <c r="I34" s="40">
        <v>11208934.9</v>
      </c>
      <c r="J34" s="40">
        <f>Таблица44672342[[#This Row],[Столбец9]]/Таблица44672342[[#This Row],[Столбец8]]*100</f>
        <v>100.29646102387453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20" t="s">
        <v>272</v>
      </c>
      <c r="U34" s="75"/>
      <c r="V34" s="91"/>
    </row>
    <row r="35" spans="1:22" ht="66" customHeight="1" x14ac:dyDescent="0.25">
      <c r="A35" s="38">
        <v>6</v>
      </c>
      <c r="B35" s="55" t="s">
        <v>8</v>
      </c>
      <c r="C35" s="50" t="s">
        <v>34</v>
      </c>
      <c r="D35" s="50" t="s">
        <v>20</v>
      </c>
      <c r="E35" s="36">
        <f>Таблица44672342[[#This Row],[Столбец8]]+Таблица44672342[[#This Row],[Столбец11]]+Таблица44672342[[#This Row],[Столбец14]]+Таблица44672342[[#This Row],[Столбец17]]</f>
        <v>1397112.5</v>
      </c>
      <c r="F35" s="40">
        <f>Таблица44672342[[#This Row],[Столбец9]]+Таблица44672342[[#This Row],[Столбец12]]+Таблица44672342[[#This Row],[Столбец15]]+Таблица44672342[[#This Row],[Столбец18]]</f>
        <v>1397112.5</v>
      </c>
      <c r="G35" s="51">
        <f>Таблица44672342[[#This Row],[Столбец6]]/Таблица44672342[[#This Row],[Столбец5]]*100</f>
        <v>100</v>
      </c>
      <c r="H35" s="51">
        <f>SUM(H36:H38)</f>
        <v>755325</v>
      </c>
      <c r="I35" s="51">
        <f>SUM(I36:I38)</f>
        <v>755325</v>
      </c>
      <c r="J35" s="51">
        <f>Таблица44672342[[#This Row],[Столбец9]]/Таблица44672342[[#This Row],[Столбец8]]*100</f>
        <v>100</v>
      </c>
      <c r="K35" s="51">
        <f>K36+K37+K38</f>
        <v>641787.5</v>
      </c>
      <c r="L35" s="51">
        <f>L36+L37+L38</f>
        <v>641787.5</v>
      </c>
      <c r="M35" s="51">
        <f>Таблица44672342[[#This Row],[Столбец12]]/Таблица44672342[[#This Row],[Столбец11]]*100</f>
        <v>100</v>
      </c>
      <c r="N35" s="51">
        <f>N36+N37+N38</f>
        <v>0</v>
      </c>
      <c r="O35" s="51">
        <f>O36+O37+O38</f>
        <v>0</v>
      </c>
      <c r="P35" s="51">
        <f>Таблица44672342[[#This Row],[Столбец13]]/Таблица44672342[[#This Row],[Столбец12]]*100</f>
        <v>1.5581481409344993E-2</v>
      </c>
      <c r="Q35" s="51">
        <f>Q36+Q37+Q38</f>
        <v>0</v>
      </c>
      <c r="R35" s="51">
        <f>R36+R37+R38</f>
        <v>0</v>
      </c>
      <c r="S35" s="51">
        <f>Таблица44672342[[#This Row],[Столбец14]]/Таблица44672342[[#This Row],[Столбец13]]*100</f>
        <v>0</v>
      </c>
      <c r="T35" s="20" t="s">
        <v>273</v>
      </c>
      <c r="U35" s="75"/>
      <c r="V35" s="91"/>
    </row>
    <row r="36" spans="1:22" ht="118.9" customHeight="1" x14ac:dyDescent="0.25">
      <c r="A36" s="61" t="s">
        <v>88</v>
      </c>
      <c r="B36" s="53" t="s">
        <v>304</v>
      </c>
      <c r="C36" s="54"/>
      <c r="D36" s="54"/>
      <c r="E36" s="30">
        <f>Таблица44672342[[#This Row],[Столбец8]]+Таблица44672342[[#This Row],[Столбец11]]+Таблица44672342[[#This Row],[Столбец14]]+Таблица44672342[[#This Row],[Столбец17]]</f>
        <v>1382482.5</v>
      </c>
      <c r="F36" s="25">
        <f>Таблица44672342[[#This Row],[Столбец9]]+Таблица44672342[[#This Row],[Столбец12]]</f>
        <v>1382482.5</v>
      </c>
      <c r="G36" s="25">
        <f>Таблица44672342[[#This Row],[Столбец6]]/Таблица44672342[[#This Row],[Столбец5]]*100</f>
        <v>100</v>
      </c>
      <c r="H36" s="25">
        <v>740695</v>
      </c>
      <c r="I36" s="25">
        <v>740695</v>
      </c>
      <c r="J36" s="25">
        <f>Таблица44672342[[#This Row],[Столбец9]]/Таблица44672342[[#This Row],[Столбец8]]*100</f>
        <v>100</v>
      </c>
      <c r="K36" s="25">
        <v>641787.5</v>
      </c>
      <c r="L36" s="25">
        <v>641787.5</v>
      </c>
      <c r="M36" s="25">
        <f>Таблица44672342[[#This Row],[Столбец12]]/Таблица44672342[[#This Row],[Столбец11]]*100</f>
        <v>100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0"/>
      <c r="U36" s="75"/>
      <c r="V36" s="91"/>
    </row>
    <row r="37" spans="1:22" ht="54" customHeight="1" x14ac:dyDescent="0.25">
      <c r="A37" s="61" t="s">
        <v>89</v>
      </c>
      <c r="B37" s="53" t="s">
        <v>63</v>
      </c>
      <c r="C37" s="54"/>
      <c r="D37" s="54"/>
      <c r="E37" s="30">
        <f>Таблица44672342[[#This Row],[Столбец8]]+Таблица44672342[[#This Row],[Столбец11]]+Таблица44672342[[#This Row],[Столбец14]]+Таблица44672342[[#This Row],[Столбец17]]</f>
        <v>4630</v>
      </c>
      <c r="F37" s="25">
        <f>Таблица44672342[[#This Row],[Столбец9]]+Таблица44672342[[#This Row],[Столбец12]]</f>
        <v>4630</v>
      </c>
      <c r="G37" s="25">
        <f>Таблица44672342[[#This Row],[Столбец6]]/Таблица44672342[[#This Row],[Столбец5]]*100</f>
        <v>100</v>
      </c>
      <c r="H37" s="25">
        <v>4630</v>
      </c>
      <c r="I37" s="25">
        <v>4630</v>
      </c>
      <c r="J37" s="25">
        <f>Таблица44672342[[#This Row],[Столбец9]]/Таблица44672342[[#This Row],[Столбец8]]*100</f>
        <v>100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0"/>
      <c r="U37" s="75"/>
      <c r="V37" s="91"/>
    </row>
    <row r="38" spans="1:22" ht="69.75" customHeight="1" x14ac:dyDescent="0.25">
      <c r="A38" s="61" t="s">
        <v>90</v>
      </c>
      <c r="B38" s="53" t="s">
        <v>64</v>
      </c>
      <c r="C38" s="54"/>
      <c r="D38" s="54"/>
      <c r="E38" s="30">
        <f>Таблица44672342[[#This Row],[Столбец8]]+Таблица44672342[[#This Row],[Столбец11]]+Таблица44672342[[#This Row],[Столбец14]]+Таблица44672342[[#This Row],[Столбец17]]</f>
        <v>10000</v>
      </c>
      <c r="F38" s="25">
        <f>Таблица44672342[[#This Row],[Столбец9]]+Таблица44672342[[#This Row],[Столбец12]]</f>
        <v>10000</v>
      </c>
      <c r="G38" s="25">
        <f>Таблица44672342[[#This Row],[Столбец6]]/Таблица44672342[[#This Row],[Столбец5]]*100</f>
        <v>100</v>
      </c>
      <c r="H38" s="25">
        <v>10000</v>
      </c>
      <c r="I38" s="25">
        <v>10000</v>
      </c>
      <c r="J38" s="25">
        <f>Таблица44672342[[#This Row],[Столбец9]]/Таблица44672342[[#This Row],[Столбец8]]*100</f>
        <v>100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0"/>
      <c r="U38" s="75"/>
      <c r="V38" s="91"/>
    </row>
    <row r="39" spans="1:22" ht="56.25" customHeight="1" x14ac:dyDescent="0.25">
      <c r="A39" s="38">
        <v>7</v>
      </c>
      <c r="B39" s="55" t="s">
        <v>317</v>
      </c>
      <c r="C39" s="50" t="s">
        <v>35</v>
      </c>
      <c r="D39" s="50" t="s">
        <v>21</v>
      </c>
      <c r="E39" s="36">
        <f>SUM(Таблица44672342[[#This Row],[Столбец8]]+Таблица44672342[[#This Row],[Столбец11]]+Таблица44672342[[#This Row],[Столбец14]]+Таблица44672342[[#This Row],[Столбец17]])</f>
        <v>634862.80000000005</v>
      </c>
      <c r="F39" s="36">
        <f>Таблица44672342[[#This Row],[Столбец9]]+Таблица44672342[[#This Row],[Столбец12]]+Таблица44672342[[#This Row],[Столбец15]]+Таблица44672342[[#This Row],[Столбец18]]</f>
        <v>619371</v>
      </c>
      <c r="G39" s="51">
        <f>Таблица44672342[[#This Row],[Столбец6]]/Таблица44672342[[#This Row],[Столбец5]]*100</f>
        <v>97.559819223933104</v>
      </c>
      <c r="H39" s="51">
        <f>SUM(H40:H42)</f>
        <v>591561.80000000005</v>
      </c>
      <c r="I39" s="51">
        <f>I40+I41</f>
        <v>576070</v>
      </c>
      <c r="J39" s="51">
        <f>Таблица44672342[[#This Row],[Столбец9]]/Таблица44672342[[#This Row],[Столбец8]]*100</f>
        <v>97.38120345160894</v>
      </c>
      <c r="K39" s="51">
        <f>SUM(K40:K41)</f>
        <v>43301</v>
      </c>
      <c r="L39" s="51">
        <f>L40+L41</f>
        <v>43301</v>
      </c>
      <c r="M39" s="51">
        <f>Таблица44672342[[#This Row],[Столбец12]]/Таблица44672342[[#This Row],[Столбец11]]*100</f>
        <v>100</v>
      </c>
      <c r="N39" s="51">
        <v>0</v>
      </c>
      <c r="O39" s="51">
        <f>O40+O41</f>
        <v>0</v>
      </c>
      <c r="P39" s="51">
        <v>0</v>
      </c>
      <c r="Q39" s="51">
        <v>0</v>
      </c>
      <c r="R39" s="51">
        <f>R40+R41</f>
        <v>0</v>
      </c>
      <c r="S39" s="51">
        <v>0</v>
      </c>
      <c r="T39" s="20" t="s">
        <v>274</v>
      </c>
      <c r="U39" s="75"/>
      <c r="V39" s="91"/>
    </row>
    <row r="40" spans="1:22" ht="69" customHeight="1" x14ac:dyDescent="0.25">
      <c r="A40" s="61" t="s">
        <v>143</v>
      </c>
      <c r="B40" s="53" t="s">
        <v>336</v>
      </c>
      <c r="C40" s="54"/>
      <c r="D40" s="54"/>
      <c r="E40" s="30">
        <f>Таблица44672342[[#This Row],[Столбец8]]+Таблица44672342[[#This Row],[Столбец11]]+Таблица44672342[[#This Row],[Столбец14]]+Таблица44672342[[#This Row],[Столбец17]]</f>
        <v>149559.1</v>
      </c>
      <c r="F40" s="37">
        <f>Таблица44672342[[#This Row],[Столбец9]]+Таблица44672342[[#This Row],[Столбец12]]+Таблица44672342[[#This Row],[Столбец15]]+Таблица44672342[[#This Row],[Столбец18]]</f>
        <v>159123.4</v>
      </c>
      <c r="G40" s="25">
        <f>Таблица44672342[[#This Row],[Столбец6]]/Таблица44672342[[#This Row],[Столбец5]]*100</f>
        <v>106.39499702793076</v>
      </c>
      <c r="H40" s="25">
        <v>106258.1</v>
      </c>
      <c r="I40" s="25">
        <v>115822.39999999999</v>
      </c>
      <c r="J40" s="25">
        <f>Таблица44672342[[#This Row],[Столбец9]]/Таблица44672342[[#This Row],[Столбец8]]*100</f>
        <v>109.00100792316067</v>
      </c>
      <c r="K40" s="25">
        <v>43301</v>
      </c>
      <c r="L40" s="25">
        <v>43301</v>
      </c>
      <c r="M40" s="25">
        <f>Таблица44672342[[#This Row],[Столбец12]]/Таблица44672342[[#This Row],[Столбец11]]*100</f>
        <v>100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0"/>
      <c r="U40" s="75"/>
      <c r="V40" s="91"/>
    </row>
    <row r="41" spans="1:22" ht="58.5" customHeight="1" x14ac:dyDescent="0.25">
      <c r="A41" s="61" t="s">
        <v>144</v>
      </c>
      <c r="B41" s="53" t="s">
        <v>337</v>
      </c>
      <c r="C41" s="54"/>
      <c r="D41" s="54"/>
      <c r="E41" s="30">
        <f>Таблица44672342[[#This Row],[Столбец8]]+Таблица44672342[[#This Row],[Столбец11]]+Таблица44672342[[#This Row],[Столбец14]]+Таблица44672342[[#This Row],[Столбец17]]</f>
        <v>438016.8</v>
      </c>
      <c r="F41" s="37">
        <f>Таблица44672342[[#This Row],[Столбец9]]+Таблица44672342[[#This Row],[Столбец12]]+Таблица44672342[[#This Row],[Столбец15]]+Таблица44672342[[#This Row],[Столбец18]]</f>
        <v>460247.6</v>
      </c>
      <c r="G41" s="25">
        <f>Таблица44672342[[#This Row],[Столбец6]]/Таблица44672342[[#This Row],[Столбец5]]*100</f>
        <v>105.07533044394644</v>
      </c>
      <c r="H41" s="25">
        <v>438016.8</v>
      </c>
      <c r="I41" s="25">
        <v>460247.6</v>
      </c>
      <c r="J41" s="25">
        <f>Таблица44672342[[#This Row],[Столбец9]]/Таблица44672342[[#This Row],[Столбец8]]*100</f>
        <v>105.07533044394644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0"/>
      <c r="U41" s="75"/>
      <c r="V41" s="91"/>
    </row>
    <row r="42" spans="1:22" ht="68.25" customHeight="1" x14ac:dyDescent="0.25">
      <c r="A42" s="61"/>
      <c r="B42" s="29" t="s">
        <v>293</v>
      </c>
      <c r="C42" s="33"/>
      <c r="D42" s="33"/>
      <c r="E42" s="31">
        <f>Таблица44672342[[#This Row],[Столбец8]]</f>
        <v>47286.9</v>
      </c>
      <c r="F42" s="32">
        <f>Таблица44672342[[#This Row],[Столбец9]]</f>
        <v>0</v>
      </c>
      <c r="G42" s="34">
        <f>Таблица44672342[[#This Row],[Столбец6]]/Таблица44672342[[#This Row],[Столбец5]]*100</f>
        <v>0</v>
      </c>
      <c r="H42" s="34">
        <v>47286.9</v>
      </c>
      <c r="I42" s="34">
        <v>0</v>
      </c>
      <c r="J42" s="34">
        <f>Таблица44672342[[#This Row],[Столбец9]]/Таблица44672342[[#This Row],[Столбец8]]*100</f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20"/>
      <c r="U42" s="75"/>
      <c r="V42" s="91"/>
    </row>
    <row r="43" spans="1:22" ht="74.25" customHeight="1" x14ac:dyDescent="0.25">
      <c r="A43" s="38">
        <v>8</v>
      </c>
      <c r="B43" s="55" t="s">
        <v>354</v>
      </c>
      <c r="C43" s="50" t="s">
        <v>36</v>
      </c>
      <c r="D43" s="50" t="s">
        <v>22</v>
      </c>
      <c r="E43" s="36">
        <f>E44+E45+E46+E47+E48</f>
        <v>1967334.17</v>
      </c>
      <c r="F43" s="36">
        <f>F44+F45+F46+F47+F48</f>
        <v>1965864.17</v>
      </c>
      <c r="G43" s="36">
        <f>Таблица44672342[[#This Row],[Столбец6]]/Таблица44672342[[#This Row],[Столбец5]]*100</f>
        <v>99.925279598025782</v>
      </c>
      <c r="H43" s="51">
        <f>SUM(H44:H48)</f>
        <v>1967334.17</v>
      </c>
      <c r="I43" s="51">
        <f>SUM(I44:I48)</f>
        <v>1965864.17</v>
      </c>
      <c r="J43" s="36">
        <f>Таблица44672342[[#This Row],[Столбец9]]/Таблица44672342[[#This Row],[Столбец8]]*100</f>
        <v>99.925279598025782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20" t="s">
        <v>267</v>
      </c>
      <c r="U43" s="75"/>
      <c r="V43" s="91"/>
    </row>
    <row r="44" spans="1:22" ht="75" customHeight="1" x14ac:dyDescent="0.25">
      <c r="A44" s="61" t="s">
        <v>54</v>
      </c>
      <c r="B44" s="53" t="s">
        <v>198</v>
      </c>
      <c r="C44" s="54"/>
      <c r="D44" s="54"/>
      <c r="E44" s="30">
        <f>Таблица44672342[[#This Row],[Столбец8]]+Таблица44672342[[#This Row],[Столбец11]]+Таблица44672342[[#This Row],[Столбец14]]+Таблица44672342[[#This Row],[Столбец17]]</f>
        <v>159535.20000000001</v>
      </c>
      <c r="F44" s="25">
        <f>Таблица44672342[[#This Row],[Столбец9]]+Таблица44672342[[#This Row],[Столбец12]]+Таблица44672342[[#This Row],[Столбец15]]+Таблица44672342[[#This Row],[Столбец18]]</f>
        <v>159535.20000000001</v>
      </c>
      <c r="G44" s="25">
        <f>Таблица44672342[[#This Row],[Столбец6]]/Таблица44672342[[#This Row],[Столбец5]]*100</f>
        <v>100</v>
      </c>
      <c r="H44" s="25">
        <v>159535.20000000001</v>
      </c>
      <c r="I44" s="25">
        <v>159535.20000000001</v>
      </c>
      <c r="J44" s="25">
        <f>Таблица44672342[[#This Row],[Столбец9]]/Таблица44672342[[#This Row],[Столбец8]]*100</f>
        <v>100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0"/>
      <c r="U44" s="75"/>
      <c r="V44" s="91"/>
    </row>
    <row r="45" spans="1:22" ht="52.5" customHeight="1" x14ac:dyDescent="0.25">
      <c r="A45" s="61" t="s">
        <v>55</v>
      </c>
      <c r="B45" s="53" t="s">
        <v>199</v>
      </c>
      <c r="C45" s="54"/>
      <c r="D45" s="54"/>
      <c r="E45" s="30">
        <f>Таблица44672342[[#This Row],[Столбец8]]+Таблица44672342[[#This Row],[Столбец11]]</f>
        <v>1764088.97</v>
      </c>
      <c r="F45" s="25">
        <f>Таблица44672342[[#This Row],[Столбец9]]+Таблица44672342[[#This Row],[Столбец12]]+Таблица44672342[[#This Row],[Столбец15]]+Таблица44672342[[#This Row],[Столбец18]]</f>
        <v>1764088.97</v>
      </c>
      <c r="G45" s="25">
        <f>Таблица44672342[[#This Row],[Столбец6]]/Таблица44672342[[#This Row],[Столбец5]]*100</f>
        <v>100</v>
      </c>
      <c r="H45" s="25">
        <v>1764088.97</v>
      </c>
      <c r="I45" s="25">
        <v>1764088.97</v>
      </c>
      <c r="J45" s="25">
        <f>Таблица44672342[[#This Row],[Столбец9]]/Таблица44672342[[#This Row],[Столбец8]]*100</f>
        <v>100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0"/>
      <c r="U45" s="75"/>
      <c r="V45" s="91"/>
    </row>
    <row r="46" spans="1:22" ht="63.75" customHeight="1" x14ac:dyDescent="0.25">
      <c r="A46" s="61" t="s">
        <v>56</v>
      </c>
      <c r="B46" s="53" t="s">
        <v>308</v>
      </c>
      <c r="C46" s="54"/>
      <c r="D46" s="54"/>
      <c r="E46" s="30">
        <f>Таблица44672342[[#This Row],[Столбец8]]+Таблица44672342[[#This Row],[Столбец11]]</f>
        <v>17830</v>
      </c>
      <c r="F46" s="25">
        <f>Таблица44672342[[#This Row],[Столбец9]]+Таблица44672342[[#This Row],[Столбец12]]+Таблица44672342[[#This Row],[Столбец15]]+Таблица44672342[[#This Row],[Столбец18]]</f>
        <v>17830</v>
      </c>
      <c r="G46" s="25">
        <f>Таблица44672342[[#This Row],[Столбец6]]/Таблица44672342[[#This Row],[Столбец5]]*100</f>
        <v>100</v>
      </c>
      <c r="H46" s="25">
        <v>17830</v>
      </c>
      <c r="I46" s="25">
        <v>17830</v>
      </c>
      <c r="J46" s="25">
        <f>Таблица44672342[[#This Row],[Столбец9]]/Таблица44672342[[#This Row],[Столбец8]]*100</f>
        <v>100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0"/>
      <c r="U46" s="75"/>
      <c r="V46" s="91"/>
    </row>
    <row r="47" spans="1:22" ht="47.25" x14ac:dyDescent="0.25">
      <c r="A47" s="61" t="s">
        <v>57</v>
      </c>
      <c r="B47" s="53" t="s">
        <v>200</v>
      </c>
      <c r="C47" s="54"/>
      <c r="D47" s="54"/>
      <c r="E47" s="30">
        <f>Таблица44672342[[#This Row],[Столбец8]]+Таблица44672342[[#This Row],[Столбец11]]</f>
        <v>20980</v>
      </c>
      <c r="F47" s="25">
        <f>Таблица44672342[[#This Row],[Столбец9]]+Таблица44672342[[#This Row],[Столбец12]]+Таблица44672342[[#This Row],[Столбец15]]+Таблица44672342[[#This Row],[Столбец18]]</f>
        <v>20980</v>
      </c>
      <c r="G47" s="46">
        <f>Таблица44672342[[#This Row],[Столбец6]]/Таблица44672342[[#This Row],[Столбец5]]*100</f>
        <v>100</v>
      </c>
      <c r="H47" s="46">
        <v>20980</v>
      </c>
      <c r="I47" s="46">
        <v>20980</v>
      </c>
      <c r="J47" s="46">
        <f>Таблица44672342[[#This Row],[Столбец9]]/Таблица44672342[[#This Row],[Столбец8]]*100</f>
        <v>100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0"/>
      <c r="U47" s="75"/>
      <c r="V47" s="91"/>
    </row>
    <row r="48" spans="1:22" ht="74.45" customHeight="1" x14ac:dyDescent="0.25">
      <c r="A48" s="61" t="s">
        <v>235</v>
      </c>
      <c r="B48" s="53" t="s">
        <v>201</v>
      </c>
      <c r="C48" s="54"/>
      <c r="D48" s="54"/>
      <c r="E48" s="30">
        <f>Таблица44672342[[#This Row],[Столбец8]]+Таблица44672342[[#This Row],[Столбец11]]</f>
        <v>4900</v>
      </c>
      <c r="F48" s="25">
        <f>Таблица44672342[[#This Row],[Столбец9]]+Таблица44672342[[#This Row],[Столбец12]]+Таблица44672342[[#This Row],[Столбец15]]+Таблица44672342[[#This Row],[Столбец18]]</f>
        <v>3430</v>
      </c>
      <c r="G48" s="46">
        <f>Таблица44672342[[#This Row],[Столбец6]]/Таблица44672342[[#This Row],[Столбец5]]*100</f>
        <v>70</v>
      </c>
      <c r="H48" s="46">
        <v>4900</v>
      </c>
      <c r="I48" s="46">
        <v>3430</v>
      </c>
      <c r="J48" s="46">
        <f>Таблица44672342[[#This Row],[Столбец9]]/Таблица44672342[[#This Row],[Столбец8]]*100</f>
        <v>70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0"/>
      <c r="U48" s="75"/>
      <c r="V48" s="91"/>
    </row>
    <row r="49" spans="1:22" ht="56.45" customHeight="1" x14ac:dyDescent="0.25">
      <c r="A49" s="38">
        <v>9</v>
      </c>
      <c r="B49" s="39" t="s">
        <v>290</v>
      </c>
      <c r="C49" s="35" t="s">
        <v>37</v>
      </c>
      <c r="D49" s="35" t="s">
        <v>23</v>
      </c>
      <c r="E49" s="36">
        <f>Таблица44672342[[#This Row],[Столбец8]]+Таблица44672342[[#This Row],[Столбец11]]+Таблица44672342[[#This Row],[Столбец14]]+Таблица44672342[[#This Row],[Столбец17]]</f>
        <v>42097.1</v>
      </c>
      <c r="F49" s="40">
        <f>Таблица44672342[[#This Row],[Столбец9]]+Таблица44672342[[#This Row],[Столбец12]]+Таблица44672342[[#This Row],[Столбец15]]+Таблица44672342[[#This Row],[Столбец18]]</f>
        <v>37528</v>
      </c>
      <c r="G49" s="40">
        <f>Таблица44672342[[#This Row],[Столбец6]]/Таблица44672342[[#This Row],[Столбец5]]*100</f>
        <v>89.14628323566231</v>
      </c>
      <c r="H49" s="40">
        <v>42097.1</v>
      </c>
      <c r="I49" s="40">
        <v>37528</v>
      </c>
      <c r="J49" s="40">
        <f>Таблица44672342[[#This Row],[Столбец9]]/Таблица44672342[[#This Row],[Столбец8]]*100</f>
        <v>89.14628323566231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20"/>
      <c r="U49" s="75"/>
      <c r="V49" s="91"/>
    </row>
    <row r="50" spans="1:22" ht="81" customHeight="1" x14ac:dyDescent="0.25">
      <c r="A50" s="38">
        <v>10</v>
      </c>
      <c r="B50" s="39" t="s">
        <v>361</v>
      </c>
      <c r="C50" s="35" t="s">
        <v>38</v>
      </c>
      <c r="D50" s="35" t="s">
        <v>24</v>
      </c>
      <c r="E50" s="36">
        <f>Таблица44672342[[#This Row],[Столбец8]]+Таблица44672342[[#This Row],[Столбец11]]+Таблица44672342[[#This Row],[Столбец14]]+Таблица44672342[[#This Row],[Столбец17]]</f>
        <v>141250</v>
      </c>
      <c r="F50" s="40">
        <f>Таблица44672342[[#This Row],[Столбец9]]+Таблица44672342[[#This Row],[Столбец12]]+Таблица44672342[[#This Row],[Столбец15]]+Таблица44672342[[#This Row],[Столбец18]]</f>
        <v>141250</v>
      </c>
      <c r="G50" s="40">
        <f>Таблица44672342[[#This Row],[Столбец6]]/Таблица44672342[[#This Row],[Столбец5]]*100</f>
        <v>100</v>
      </c>
      <c r="H50" s="40">
        <v>141250</v>
      </c>
      <c r="I50" s="40">
        <v>141250</v>
      </c>
      <c r="J50" s="40">
        <f>Таблица44672342[[#This Row],[Столбец9]]/Таблица44672342[[#This Row],[Столбец8]]*100</f>
        <v>100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20" t="s">
        <v>278</v>
      </c>
      <c r="U50" s="75"/>
      <c r="V50" s="91"/>
    </row>
    <row r="51" spans="1:22" s="6" customFormat="1" ht="78.599999999999994" customHeight="1" x14ac:dyDescent="0.25">
      <c r="A51" s="38">
        <v>11</v>
      </c>
      <c r="B51" s="55" t="s">
        <v>9</v>
      </c>
      <c r="C51" s="50" t="s">
        <v>39</v>
      </c>
      <c r="D51" s="50" t="s">
        <v>25</v>
      </c>
      <c r="E51" s="36">
        <f>E52+E60+E61+E62+E63+E64+E65</f>
        <v>4442325.8599999994</v>
      </c>
      <c r="F51" s="36">
        <f>F52+F60+F61+F62+F63+F64+F65</f>
        <v>2542996.0632299995</v>
      </c>
      <c r="G51" s="36">
        <f>(Таблица44672342[[#This Row],[Столбец6]]/Таблица44672342[[#This Row],[Столбец5]])*100</f>
        <v>57.244698911619238</v>
      </c>
      <c r="H51" s="36">
        <f>H52+H60+H61+H62+H63+H64+H65</f>
        <v>4342838.46</v>
      </c>
      <c r="I51" s="36">
        <f>I52+I60+I61+I62+I63+I64+I65</f>
        <v>2529753.7632299997</v>
      </c>
      <c r="J51" s="36">
        <f>Таблица44672342[[#This Row],[Столбец9]]/Таблица44672342[[#This Row],[Столбец8]]*100</f>
        <v>58.251159616699155</v>
      </c>
      <c r="K51" s="36">
        <f t="shared" ref="K51:Q51" si="2">K52+K60+K61+K62+K63+K64+K65</f>
        <v>71405.8</v>
      </c>
      <c r="L51" s="36">
        <f>L52+L60+L61+L62+L63+L64+L65</f>
        <v>0</v>
      </c>
      <c r="M51" s="36">
        <f>Таблица44672342[[#This Row],[Столбец12]]/Таблица44672342[[#This Row],[Столбец11]]*100</f>
        <v>0</v>
      </c>
      <c r="N51" s="36">
        <f t="shared" si="2"/>
        <v>906.6</v>
      </c>
      <c r="O51" s="36">
        <f>O52+O60+O61+O62+O63+O64+O65</f>
        <v>1242.3</v>
      </c>
      <c r="P51" s="36">
        <f>Таблица44672342[[#This Row],[Столбец15]]/Таблица44672342[[#This Row],[Столбец14]]*100</f>
        <v>137.02845797485108</v>
      </c>
      <c r="Q51" s="36">
        <f t="shared" si="2"/>
        <v>27175</v>
      </c>
      <c r="R51" s="36">
        <f>R52+R60+R61+R62+R63+R64+R65</f>
        <v>12000</v>
      </c>
      <c r="S51" s="36">
        <f>Таблица44672342[[#This Row],[Столбец18]]/Таблица44672342[[#This Row],[Столбец17]]*100</f>
        <v>44.158233670653175</v>
      </c>
      <c r="T51" s="20"/>
      <c r="U51" s="75"/>
      <c r="V51" s="92"/>
    </row>
    <row r="52" spans="1:22" ht="84.6" customHeight="1" x14ac:dyDescent="0.25">
      <c r="A52" s="64" t="s">
        <v>239</v>
      </c>
      <c r="B52" s="65" t="s">
        <v>202</v>
      </c>
      <c r="C52" s="66"/>
      <c r="D52" s="66"/>
      <c r="E52" s="37">
        <f>Таблица44672342[[#This Row],[Столбец8]]+Таблица44672342[[#This Row],[Столбец11]]</f>
        <v>1580609.7</v>
      </c>
      <c r="F52" s="37">
        <f>Таблица44672342[[#This Row],[Столбец9]]+Таблица44672342[[#This Row],[Столбец12]]</f>
        <v>1406327.6246799999</v>
      </c>
      <c r="G52" s="37">
        <f>Таблица44672342[[#This Row],[Столбец6]]/Таблица44672342[[#This Row],[Столбец5]]*100</f>
        <v>88.973743782541632</v>
      </c>
      <c r="H52" s="37">
        <f>SUM(H53:H59)</f>
        <v>1580609.7</v>
      </c>
      <c r="I52" s="37">
        <f>SUM(I53:I59)</f>
        <v>1406327.6246799999</v>
      </c>
      <c r="J52" s="37">
        <f>Таблица44672342[[#This Row],[Столбец9]]/Таблица44672342[[#This Row],[Столбец8]]*100</f>
        <v>88.973743782541632</v>
      </c>
      <c r="K52" s="37">
        <f>SUM(K53:K59)</f>
        <v>0</v>
      </c>
      <c r="L52" s="37">
        <f>SUM(L53:L59)</f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20"/>
      <c r="U52" s="75"/>
      <c r="V52" s="91"/>
    </row>
    <row r="53" spans="1:22" ht="52.15" customHeight="1" x14ac:dyDescent="0.25">
      <c r="A53" s="64"/>
      <c r="B53" s="67" t="s">
        <v>72</v>
      </c>
      <c r="C53" s="66"/>
      <c r="D53" s="80"/>
      <c r="E53" s="30">
        <f>Таблица44672342[[#This Row],[Столбец8]]+Таблица44672342[[#This Row],[Столбец11]]+Таблица44672342[[#This Row],[Столбец14]]+Таблица44672342[[#This Row],[Столбец17]]</f>
        <v>651398.5</v>
      </c>
      <c r="F53" s="37">
        <f>Таблица44672342[[#This Row],[Столбец9]]+Таблица44672342[[#This Row],[Столбец12]]+Таблица44672342[[#This Row],[Столбец15]]+Таблица44672342[[#This Row],[Столбец18]]</f>
        <v>579007.07467999996</v>
      </c>
      <c r="G53" s="30">
        <f>Таблица44672342[[#This Row],[Столбец6]]/Таблица44672342[[#This Row],[Столбец5]]*100</f>
        <v>88.886768188750807</v>
      </c>
      <c r="H53" s="30">
        <v>651398.5</v>
      </c>
      <c r="I53" s="30">
        <v>579007.07467999996</v>
      </c>
      <c r="J53" s="30">
        <f>Таблица44672342[[#This Row],[Столбец9]]/Таблица44672342[[#This Row],[Столбец8]]*100</f>
        <v>88.886768188750807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20"/>
      <c r="U53" s="75"/>
      <c r="V53" s="91"/>
    </row>
    <row r="54" spans="1:22" ht="56.25" customHeight="1" x14ac:dyDescent="0.25">
      <c r="A54" s="64"/>
      <c r="B54" s="67" t="s">
        <v>73</v>
      </c>
      <c r="C54" s="66"/>
      <c r="D54" s="80"/>
      <c r="E54" s="30">
        <f>Таблица44672342[[#This Row],[Столбец8]]+Таблица44672342[[#This Row],[Столбец11]]+Таблица44672342[[#This Row],[Столбец14]]+Таблица44672342[[#This Row],[Столбец17]]</f>
        <v>379537</v>
      </c>
      <c r="F54" s="37">
        <f>Таблица44672342[[#This Row],[Столбец9]]+Таблица44672342[[#This Row],[Столбец12]]+Таблица44672342[[#This Row],[Столбец15]]+Таблица44672342[[#This Row],[Столбец18]]</f>
        <v>379537</v>
      </c>
      <c r="G54" s="30">
        <f>Таблица44672342[[#This Row],[Столбец6]]/Таблица44672342[[#This Row],[Столбец5]]*100</f>
        <v>100</v>
      </c>
      <c r="H54" s="30">
        <v>379537</v>
      </c>
      <c r="I54" s="30">
        <v>379537</v>
      </c>
      <c r="J54" s="30">
        <f>Таблица44672342[[#This Row],[Столбец9]]/Таблица44672342[[#This Row],[Столбец8]]*100</f>
        <v>100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20"/>
      <c r="U54" s="75"/>
      <c r="V54" s="91"/>
    </row>
    <row r="55" spans="1:22" ht="48.75" customHeight="1" x14ac:dyDescent="0.25">
      <c r="A55" s="64"/>
      <c r="B55" s="67" t="s">
        <v>74</v>
      </c>
      <c r="C55" s="66"/>
      <c r="D55" s="81"/>
      <c r="E55" s="30">
        <f>Таблица44672342[[#This Row],[Столбец8]]+Таблица44672342[[#This Row],[Столбец11]]+Таблица44672342[[#This Row],[Столбец14]]+Таблица44672342[[#This Row],[Столбец17]]</f>
        <v>337500.7</v>
      </c>
      <c r="F55" s="37">
        <f>Таблица44672342[[#This Row],[Столбец9]]+Таблица44672342[[#This Row],[Столбец12]]+Таблица44672342[[#This Row],[Столбец15]]+Таблица44672342[[#This Row],[Столбец18]]</f>
        <v>285706.40000000002</v>
      </c>
      <c r="G55" s="30">
        <f>Таблица44672342[[#This Row],[Столбец6]]/Таблица44672342[[#This Row],[Столбец5]]*100</f>
        <v>84.653572570368013</v>
      </c>
      <c r="H55" s="30">
        <v>337500.7</v>
      </c>
      <c r="I55" s="30">
        <v>285706.40000000002</v>
      </c>
      <c r="J55" s="30">
        <f>Таблица44672342[[#This Row],[Столбец9]]/Таблица44672342[[#This Row],[Столбец8]]*100</f>
        <v>84.653572570368013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20" t="s">
        <v>278</v>
      </c>
      <c r="U55" s="75"/>
      <c r="V55" s="91"/>
    </row>
    <row r="56" spans="1:22" ht="54" customHeight="1" x14ac:dyDescent="0.25">
      <c r="A56" s="64"/>
      <c r="B56" s="67" t="s">
        <v>75</v>
      </c>
      <c r="C56" s="66"/>
      <c r="D56" s="66"/>
      <c r="E56" s="30">
        <v>25570.3</v>
      </c>
      <c r="F56" s="37">
        <f>Таблица44672342[[#This Row],[Столбец9]]+Таблица44672342[[#This Row],[Столбец12]]</f>
        <v>33498.949999999997</v>
      </c>
      <c r="G56" s="30">
        <f>Таблица44672342[[#This Row],[Столбец6]]/Таблица44672342[[#This Row],[Столбец5]]*100</f>
        <v>131.0072623316895</v>
      </c>
      <c r="H56" s="30">
        <v>25259.9</v>
      </c>
      <c r="I56" s="30">
        <v>33498.949999999997</v>
      </c>
      <c r="J56" s="30">
        <f>Таблица44672342[[#This Row],[Столбец9]]/Таблица44672342[[#This Row],[Столбец8]]*100</f>
        <v>132.61711249846593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20"/>
      <c r="U56" s="75"/>
      <c r="V56" s="91"/>
    </row>
    <row r="57" spans="1:22" ht="54" customHeight="1" x14ac:dyDescent="0.25">
      <c r="A57" s="64"/>
      <c r="B57" s="67" t="s">
        <v>76</v>
      </c>
      <c r="C57" s="66"/>
      <c r="D57" s="66"/>
      <c r="E57" s="30">
        <f>Таблица44672342[[#This Row],[Столбец8]]+Таблица44672342[[#This Row],[Столбец11]]+Таблица44672342[[#This Row],[Столбец14]]+Таблица44672342[[#This Row],[Столбец17]]</f>
        <v>98639.6</v>
      </c>
      <c r="F57" s="37">
        <f>Таблица44672342[[#This Row],[Столбец9]]+Таблица44672342[[#This Row],[Столбец12]]+Таблица44672342[[#This Row],[Столбец15]]+Таблица44672342[[#This Row],[Столбец18]]</f>
        <v>87157.5</v>
      </c>
      <c r="G57" s="30">
        <f>Таблица44672342[[#This Row],[Столбец6]]/Таблица44672342[[#This Row],[Столбец5]]*100</f>
        <v>88.359543226047137</v>
      </c>
      <c r="H57" s="30">
        <v>98639.6</v>
      </c>
      <c r="I57" s="30">
        <v>87157.5</v>
      </c>
      <c r="J57" s="30">
        <f>Таблица44672342[[#This Row],[Столбец9]]/Таблица44672342[[#This Row],[Столбец8]]*100</f>
        <v>88.359543226047137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20"/>
      <c r="U57" s="75"/>
      <c r="V57" s="91"/>
    </row>
    <row r="58" spans="1:22" ht="60.75" customHeight="1" x14ac:dyDescent="0.25">
      <c r="A58" s="64"/>
      <c r="B58" s="67" t="s">
        <v>77</v>
      </c>
      <c r="C58" s="66"/>
      <c r="D58" s="66"/>
      <c r="E58" s="30">
        <f>Таблица44672342[[#This Row],[Столбец8]]+Таблица44672342[[#This Row],[Столбец11]]+Таблица44672342[[#This Row],[Столбец14]]+Таблица44672342[[#This Row],[Столбец17]]</f>
        <v>52356.5</v>
      </c>
      <c r="F58" s="37">
        <f>Таблица44672342[[#This Row],[Столбец9]]+Таблица44672342[[#This Row],[Столбец12]]+Таблица44672342[[#This Row],[Столбец15]]+Таблица44672342[[#This Row],[Столбец18]]</f>
        <v>0</v>
      </c>
      <c r="G58" s="37">
        <v>0</v>
      </c>
      <c r="H58" s="30">
        <v>52356.5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20"/>
      <c r="U58" s="75"/>
      <c r="V58" s="91"/>
    </row>
    <row r="59" spans="1:22" ht="63" customHeight="1" x14ac:dyDescent="0.25">
      <c r="A59" s="64"/>
      <c r="B59" s="67" t="s">
        <v>78</v>
      </c>
      <c r="C59" s="66"/>
      <c r="D59" s="66"/>
      <c r="E59" s="30">
        <f>Таблица44672342[[#This Row],[Столбец8]]+Таблица44672342[[#This Row],[Столбец11]]+Таблица44672342[[#This Row],[Столбец14]]+Таблица44672342[[#This Row],[Столбец17]]</f>
        <v>35917.5</v>
      </c>
      <c r="F59" s="37">
        <f>Таблица44672342[[#This Row],[Столбец9]]+Таблица44672342[[#This Row],[Столбец12]]+Таблица44672342[[#This Row],[Столбец15]]+Таблица44672342[[#This Row],[Столбец18]]</f>
        <v>41420.699999999997</v>
      </c>
      <c r="G59" s="30">
        <f>Таблица44672342[[#This Row],[Столбец6]]/Таблица44672342[[#This Row],[Столбец5]]*100</f>
        <v>115.32177907705157</v>
      </c>
      <c r="H59" s="30">
        <v>35917.5</v>
      </c>
      <c r="I59" s="30">
        <v>41420.699999999997</v>
      </c>
      <c r="J59" s="30">
        <f>Таблица44672342[[#This Row],[Столбец9]]/Таблица44672342[[#This Row],[Столбец8]]*100</f>
        <v>115.32177907705157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20" t="s">
        <v>275</v>
      </c>
      <c r="U59" s="75"/>
      <c r="V59" s="91"/>
    </row>
    <row r="60" spans="1:22" ht="72" customHeight="1" x14ac:dyDescent="0.25">
      <c r="A60" s="64" t="s">
        <v>145</v>
      </c>
      <c r="B60" s="65" t="s">
        <v>306</v>
      </c>
      <c r="C60" s="66"/>
      <c r="D60" s="66"/>
      <c r="E60" s="30">
        <f>Таблица44672342[[#This Row],[Столбец8]]+Таблица44672342[[#This Row],[Столбец11]]+Таблица44672342[[#This Row],[Столбец14]]+Таблица44672342[[#This Row],[Столбец17]]</f>
        <v>1036405.8</v>
      </c>
      <c r="F60" s="37">
        <f>Таблица44672342[[#This Row],[Столбец9]]+Таблица44672342[[#This Row],[Столбец12]]+Таблица44672342[[#This Row],[Столбец15]]+Таблица44672342[[#This Row],[Столбец18]]</f>
        <v>858952.07900000003</v>
      </c>
      <c r="G60" s="30">
        <f>Таблица44672342[[#This Row],[Столбец6]]/Таблица44672342[[#This Row],[Столбец5]]*100</f>
        <v>82.877969131396213</v>
      </c>
      <c r="H60" s="30">
        <v>965000</v>
      </c>
      <c r="I60" s="25">
        <v>858952.07900000003</v>
      </c>
      <c r="J60" s="30">
        <f>Таблица44672342[[#This Row],[Столбец9]]/Таблица44672342[[#This Row],[Столбец8]]*100</f>
        <v>89.010578134715018</v>
      </c>
      <c r="K60" s="30">
        <v>71405.8</v>
      </c>
      <c r="L60" s="30">
        <v>0</v>
      </c>
      <c r="M60" s="30">
        <f>(Таблица44672342[[#This Row],[Столбец12]]/Таблица44672342[[#This Row],[Столбец11]])*100</f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20"/>
      <c r="U60" s="75"/>
      <c r="V60" s="91"/>
    </row>
    <row r="61" spans="1:22" ht="77.45" customHeight="1" x14ac:dyDescent="0.25">
      <c r="A61" s="64" t="s">
        <v>146</v>
      </c>
      <c r="B61" s="65" t="s">
        <v>311</v>
      </c>
      <c r="C61" s="66"/>
      <c r="D61" s="66"/>
      <c r="E61" s="30">
        <f>Таблица44672342[[#This Row],[Столбец8]]+Таблица44672342[[#This Row],[Столбец11]]+Таблица44672342[[#This Row],[Столбец14]]+Таблица44672342[[#This Row],[Столбец17]]</f>
        <v>249988.30000000002</v>
      </c>
      <c r="F61" s="37">
        <f>Таблица44672342[[#This Row],[Столбец9]]+Таблица44672342[[#This Row],[Столбец12]]+Таблица44672342[[#This Row],[Столбец15]]+Таблица44672342[[#This Row],[Столбец18]]</f>
        <v>205745.5</v>
      </c>
      <c r="G61" s="30">
        <f>Таблица44672342[[#This Row],[Столбец6]]/Таблица44672342[[#This Row],[Столбец5]]*100</f>
        <v>82.302051736021241</v>
      </c>
      <c r="H61" s="30">
        <v>233081.7</v>
      </c>
      <c r="I61" s="30">
        <v>192503.2</v>
      </c>
      <c r="J61" s="30">
        <f>Таблица44672342[[#This Row],[Столбец9]]/Таблица44672342[[#This Row],[Столбец8]]*100</f>
        <v>82.590439318058856</v>
      </c>
      <c r="K61" s="30">
        <v>0</v>
      </c>
      <c r="L61" s="30">
        <v>0</v>
      </c>
      <c r="M61" s="30">
        <v>0</v>
      </c>
      <c r="N61" s="30">
        <v>906.6</v>
      </c>
      <c r="O61" s="30">
        <v>1242.3</v>
      </c>
      <c r="P61" s="30">
        <f>Таблица44672342[[#This Row],[Столбец15]]/Таблица44672342[[#This Row],[Столбец14]]*100</f>
        <v>137.02845797485108</v>
      </c>
      <c r="Q61" s="30">
        <v>16000</v>
      </c>
      <c r="R61" s="30">
        <v>12000</v>
      </c>
      <c r="S61" s="30">
        <f>(Таблица44672342[[#This Row],[Столбец18]]/Таблица44672342[[#This Row],[Столбец17]])*100</f>
        <v>75</v>
      </c>
      <c r="T61" s="20" t="s">
        <v>286</v>
      </c>
      <c r="U61" s="75"/>
      <c r="V61" s="91"/>
    </row>
    <row r="62" spans="1:22" ht="63" x14ac:dyDescent="0.25">
      <c r="A62" s="64" t="s">
        <v>238</v>
      </c>
      <c r="B62" s="65" t="s">
        <v>185</v>
      </c>
      <c r="C62" s="66"/>
      <c r="D62" s="66"/>
      <c r="E62" s="30">
        <f>Таблица44672342[[#This Row],[Столбец8]]+Таблица44672342[[#This Row],[Столбец11]]+Таблица44672342[[#This Row],[Столбец14]]+Таблица44672342[[#This Row],[Столбец17]]</f>
        <v>9957.5</v>
      </c>
      <c r="F62" s="37">
        <f>Таблица44672342[[#This Row],[Столбец9]]+Таблица44672342[[#This Row],[Столбец12]]+Таблица44672342[[#This Row],[Столбец15]]+Таблица44672342[[#This Row],[Столбец18]]</f>
        <v>9957.5</v>
      </c>
      <c r="G62" s="30">
        <v>0</v>
      </c>
      <c r="H62" s="30">
        <v>9957.5</v>
      </c>
      <c r="I62" s="30">
        <v>9957.5</v>
      </c>
      <c r="J62" s="30">
        <f>Таблица44672342[[#This Row],[Столбец9]]/Таблица44672342[[#This Row],[Столбец8]]*100</f>
        <v>100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20"/>
      <c r="U62" s="75"/>
      <c r="V62" s="91"/>
    </row>
    <row r="63" spans="1:22" ht="63" x14ac:dyDescent="0.25">
      <c r="A63" s="64" t="s">
        <v>237</v>
      </c>
      <c r="B63" s="65" t="s">
        <v>221</v>
      </c>
      <c r="C63" s="66"/>
      <c r="D63" s="66"/>
      <c r="E63" s="30">
        <f>Таблица44672342[[#This Row],[Столбец8]]+Таблица44672342[[#This Row],[Столбец11]]+Таблица44672342[[#This Row],[Столбец14]]+Таблица44672342[[#This Row],[Столбец17]]</f>
        <v>18400</v>
      </c>
      <c r="F63" s="37">
        <f>Таблица44672342[[#This Row],[Столбец9]]+Таблица44672342[[#This Row],[Столбец12]]+Таблица44672342[[#This Row],[Столбец15]]+Таблица44672342[[#This Row],[Столбец18]]</f>
        <v>12880</v>
      </c>
      <c r="G63" s="30">
        <f>Таблица44672342[[#This Row],[Столбец6]]/Таблица44672342[[#This Row],[Столбец5]]*100</f>
        <v>70</v>
      </c>
      <c r="H63" s="30">
        <v>18400</v>
      </c>
      <c r="I63" s="30">
        <v>12880</v>
      </c>
      <c r="J63" s="30">
        <f>Таблица44672342[[#This Row],[Столбец9]]/Таблица44672342[[#This Row],[Столбец8]]*100</f>
        <v>70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20"/>
      <c r="U63" s="75"/>
      <c r="V63" s="91"/>
    </row>
    <row r="64" spans="1:22" ht="54.6" customHeight="1" x14ac:dyDescent="0.25">
      <c r="A64" s="64" t="s">
        <v>236</v>
      </c>
      <c r="B64" s="42" t="s">
        <v>232</v>
      </c>
      <c r="C64" s="44"/>
      <c r="D64" s="44"/>
      <c r="E64" s="30">
        <f>Таблица44672342[[#This Row],[Столбец8]]+Таблица44672342[[#This Row],[Столбец11]]+Таблица44672342[[#This Row],[Столбец14]]+Таблица44672342[[#This Row],[Столбец17]]</f>
        <v>36658.36</v>
      </c>
      <c r="F64" s="37">
        <f>Таблица44672342[[#This Row],[Столбец9]]+Таблица44672342[[#This Row],[Столбец12]]+Таблица44672342[[#This Row],[Столбец15]]+Таблица44672342[[#This Row],[Столбец18]]</f>
        <v>17838.3</v>
      </c>
      <c r="G64" s="30">
        <f>Таблица44672342[[#This Row],[Столбец6]]/Таблица44672342[[#This Row],[Столбец5]]*100</f>
        <v>48.660933004095106</v>
      </c>
      <c r="H64" s="37">
        <v>25483.360000000001</v>
      </c>
      <c r="I64" s="37">
        <v>17838.3</v>
      </c>
      <c r="J64" s="37">
        <v>0</v>
      </c>
      <c r="K64" s="37">
        <v>0</v>
      </c>
      <c r="L64" s="30">
        <v>0</v>
      </c>
      <c r="M64" s="37">
        <v>0</v>
      </c>
      <c r="N64" s="37">
        <v>0</v>
      </c>
      <c r="O64" s="37">
        <v>0</v>
      </c>
      <c r="P64" s="37">
        <v>0</v>
      </c>
      <c r="Q64" s="37">
        <v>11175</v>
      </c>
      <c r="R64" s="37">
        <v>0</v>
      </c>
      <c r="S64" s="37">
        <v>0</v>
      </c>
      <c r="T64" s="20" t="s">
        <v>285</v>
      </c>
      <c r="U64" s="75"/>
      <c r="V64" s="91"/>
    </row>
    <row r="65" spans="1:22" ht="98.45" customHeight="1" x14ac:dyDescent="0.25">
      <c r="A65" s="64" t="s">
        <v>244</v>
      </c>
      <c r="B65" s="42" t="s">
        <v>253</v>
      </c>
      <c r="C65" s="44"/>
      <c r="D65" s="44"/>
      <c r="E65" s="30">
        <f>Таблица44672342[[#This Row],[Столбец8]]+Таблица44672342[[#This Row],[Столбец11]]+Таблица44672342[[#This Row],[Столбец14]]+Таблица44672342[[#This Row],[Столбец17]]</f>
        <v>1510306.2</v>
      </c>
      <c r="F65" s="37">
        <f>Таблица44672342[[#This Row],[Столбец9]]+Таблица44672342[[#This Row],[Столбец12]]+Таблица44672342[[#This Row],[Столбец15]]+Таблица44672342[[#This Row],[Столбец18]]</f>
        <v>31295.059550000002</v>
      </c>
      <c r="G65" s="37">
        <v>0</v>
      </c>
      <c r="H65" s="30">
        <v>1510306.2</v>
      </c>
      <c r="I65" s="37">
        <v>31295.059550000002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20"/>
      <c r="U65" s="75"/>
      <c r="V65" s="91"/>
    </row>
    <row r="66" spans="1:22" ht="117" customHeight="1" x14ac:dyDescent="0.25">
      <c r="A66" s="38" t="s">
        <v>112</v>
      </c>
      <c r="B66" s="55" t="s">
        <v>319</v>
      </c>
      <c r="C66" s="50" t="s">
        <v>40</v>
      </c>
      <c r="D66" s="35" t="s">
        <v>222</v>
      </c>
      <c r="E66" s="36">
        <f>Таблица44672342[[#This Row],[Столбец8]]+Таблица44672342[[#This Row],[Столбец11]]+Таблица44672342[[#This Row],[Столбец14]]+Таблица44672342[[#This Row],[Столбец17]]</f>
        <v>2524311.2999999998</v>
      </c>
      <c r="F66" s="40">
        <f>Таблица44672342[[#This Row],[Столбец9]]+Таблица44672342[[#This Row],[Столбец12]]+Таблица44672342[[#This Row],[Столбец15]]+Таблица44672342[[#This Row],[Столбец18]]</f>
        <v>4392077.8499999996</v>
      </c>
      <c r="G66" s="51">
        <f>Таблица44672342[[#This Row],[Столбец6]]/Таблица44672342[[#This Row],[Столбец5]]*100</f>
        <v>173.99113374012151</v>
      </c>
      <c r="H66" s="51">
        <f>H67+H68+H69+H71</f>
        <v>1472053.6</v>
      </c>
      <c r="I66" s="51">
        <f>I67+I68+I69+I71</f>
        <v>1186063.2199999997</v>
      </c>
      <c r="J66" s="51">
        <f>Таблица44672342[[#This Row],[Столбец9]]/Таблица44672342[[#This Row],[Столбец8]]*100</f>
        <v>80.572013138651997</v>
      </c>
      <c r="K66" s="51">
        <v>0</v>
      </c>
      <c r="L66" s="51">
        <f>L67+L68+L69+L71</f>
        <v>2345347.2000000002</v>
      </c>
      <c r="M66" s="51">
        <v>0</v>
      </c>
      <c r="N66" s="51">
        <v>843331.7</v>
      </c>
      <c r="O66" s="51">
        <f>O67+O68+O69+O71</f>
        <v>709635.33</v>
      </c>
      <c r="P66" s="51">
        <f>Таблица44672342[[#This Row],[Столбец15]]/Таблица44672342[[#This Row],[Столбец14]]*100</f>
        <v>84.14664478994446</v>
      </c>
      <c r="Q66" s="51">
        <f>Q67+Q68+Q69++Q71</f>
        <v>208926</v>
      </c>
      <c r="R66" s="51">
        <f>R67+R68+R69++R71</f>
        <v>151032.1</v>
      </c>
      <c r="S66" s="51">
        <f>Таблица44672342[[#This Row],[Столбец18]]/Таблица44672342[[#This Row],[Столбец17]]*100</f>
        <v>72.289758096168015</v>
      </c>
      <c r="T66" s="20" t="s">
        <v>266</v>
      </c>
      <c r="U66" s="75"/>
      <c r="V66" s="94">
        <f>Таблица44672342[[#This Row],[Столбец5]]/1000</f>
        <v>2524.3112999999998</v>
      </c>
    </row>
    <row r="67" spans="1:22" s="9" customFormat="1" ht="47.25" x14ac:dyDescent="0.25">
      <c r="A67" s="61" t="s">
        <v>113</v>
      </c>
      <c r="B67" s="53" t="s">
        <v>338</v>
      </c>
      <c r="C67" s="54"/>
      <c r="D67" s="25"/>
      <c r="E67" s="30">
        <f>Таблица44672342[[#This Row],[Столбец8]]+Таблица44672342[[#This Row],[Столбец11]]+Таблица44672342[[#This Row],[Столбец14]]+Таблица44672342[[#This Row],[Столбец17]]</f>
        <v>1315872</v>
      </c>
      <c r="F67" s="37">
        <f>Таблица44672342[[#This Row],[Столбец9]]+Таблица44672342[[#This Row],[Столбец12]]+Таблица44672342[[#This Row],[Столбец15]]+Таблица44672342[[#This Row],[Столбец18]]</f>
        <v>3218317.54</v>
      </c>
      <c r="G67" s="25">
        <f>Таблица44672342[[#This Row],[Столбец6]]/Таблица44672342[[#This Row],[Столбец5]]*100</f>
        <v>244.57679318353152</v>
      </c>
      <c r="H67" s="25">
        <v>1013127.5</v>
      </c>
      <c r="I67" s="25">
        <v>811957.23</v>
      </c>
      <c r="J67" s="25">
        <f>Таблица44672342[[#This Row],[Столбец9]]/Таблица44672342[[#This Row],[Столбец8]]*100</f>
        <v>80.143637400031082</v>
      </c>
      <c r="K67" s="25">
        <v>0</v>
      </c>
      <c r="L67" s="25">
        <v>2238648</v>
      </c>
      <c r="M67" s="25">
        <v>100</v>
      </c>
      <c r="N67" s="25">
        <v>249528.5</v>
      </c>
      <c r="O67" s="25">
        <v>134312.31</v>
      </c>
      <c r="P67" s="25">
        <f>O66/N66*100</f>
        <v>84.14664478994446</v>
      </c>
      <c r="Q67" s="25">
        <v>53216</v>
      </c>
      <c r="R67" s="25">
        <v>33400</v>
      </c>
      <c r="S67" s="25">
        <f>Таблица44672342[[#This Row],[Столбец18]]/Таблица44672342[[#This Row],[Столбец17]]*100</f>
        <v>62.76307877330126</v>
      </c>
      <c r="T67" s="20"/>
      <c r="U67" s="75"/>
      <c r="V67" s="96">
        <f>H66/1000</f>
        <v>1472.0536000000002</v>
      </c>
    </row>
    <row r="68" spans="1:22" s="10" customFormat="1" ht="99.6" customHeight="1" x14ac:dyDescent="0.25">
      <c r="A68" s="61" t="s">
        <v>114</v>
      </c>
      <c r="B68" s="53" t="s">
        <v>339</v>
      </c>
      <c r="C68" s="54"/>
      <c r="D68" s="54"/>
      <c r="E68" s="30">
        <f>Таблица44672342[[#This Row],[Столбец8]]+Таблица44672342[[#This Row],[Столбец11]]+Таблица44672342[[#This Row],[Столбец14]]+Таблица44672342[[#This Row],[Столбец17]]</f>
        <v>445904.6</v>
      </c>
      <c r="F68" s="37">
        <f>Таблица44672342[[#This Row],[Столбец9]]+Таблица44672342[[#This Row],[Столбец12]]+Таблица44672342[[#This Row],[Столбец15]]+Таблица44672342[[#This Row],[Столбец18]]</f>
        <v>466849.45999999996</v>
      </c>
      <c r="G68" s="25">
        <f>Таблица44672342[[#This Row],[Столбец6]]/Таблица44672342[[#This Row],[Столбец5]]*100</f>
        <v>104.69716167987502</v>
      </c>
      <c r="H68" s="25">
        <v>422234.3</v>
      </c>
      <c r="I68" s="25">
        <v>346353.11</v>
      </c>
      <c r="J68" s="25">
        <f>Таблица44672342[[#This Row],[Столбец9]]/Таблица44672342[[#This Row],[Столбец8]]*100</f>
        <v>82.02865328562838</v>
      </c>
      <c r="K68" s="25">
        <v>0</v>
      </c>
      <c r="L68" s="25">
        <v>76437</v>
      </c>
      <c r="M68" s="25">
        <v>100</v>
      </c>
      <c r="N68" s="25">
        <v>21560.3</v>
      </c>
      <c r="O68" s="25">
        <v>44059.35</v>
      </c>
      <c r="P68" s="25">
        <f>Таблица44672342[[#This Row],[Столбец15]]/Таблица44672342[[#This Row],[Столбец14]]*100</f>
        <v>204.35406742948845</v>
      </c>
      <c r="Q68" s="25">
        <v>2110</v>
      </c>
      <c r="R68" s="25">
        <v>0</v>
      </c>
      <c r="S68" s="25">
        <f>Таблица44672342[[#This Row],[Столбец18]]/Таблица44672342[[#This Row],[Столбец17]]*100</f>
        <v>0</v>
      </c>
      <c r="T68" s="20"/>
      <c r="U68" s="75"/>
      <c r="V68" s="97">
        <f>N66/1000</f>
        <v>843.33169999999996</v>
      </c>
    </row>
    <row r="69" spans="1:22" ht="57.6" customHeight="1" x14ac:dyDescent="0.25">
      <c r="A69" s="61" t="s">
        <v>115</v>
      </c>
      <c r="B69" s="65" t="s">
        <v>340</v>
      </c>
      <c r="C69" s="66"/>
      <c r="D69" s="66"/>
      <c r="E69" s="30">
        <f>Таблица44672342[[#This Row],[Столбец8]]+Таблица44672342[[#This Row],[Столбец11]]+Таблица44672342[[#This Row],[Столбец14]]+Таблица44672342[[#This Row],[Столбец17]]</f>
        <v>498942.6</v>
      </c>
      <c r="F69" s="37">
        <f>Таблица44672342[[#This Row],[Столбец9]]+Таблица44672342[[#This Row],[Столбец12]]+Таблица44672342[[#This Row],[Столбец15]]+Таблица44672342[[#This Row],[Столбец18]]</f>
        <v>494048.01</v>
      </c>
      <c r="G69" s="30">
        <f>Таблица44672342[[#This Row],[Столбец6]]/Таблица44672342[[#This Row],[Столбец5]]*100</f>
        <v>99.019007396842852</v>
      </c>
      <c r="H69" s="30">
        <v>0</v>
      </c>
      <c r="I69" s="30">
        <v>0</v>
      </c>
      <c r="J69" s="25">
        <v>0</v>
      </c>
      <c r="K69" s="30">
        <v>0</v>
      </c>
      <c r="L69" s="30">
        <v>30262.2</v>
      </c>
      <c r="M69" s="30">
        <v>100</v>
      </c>
      <c r="N69" s="30">
        <v>498942.6</v>
      </c>
      <c r="O69" s="30">
        <v>463443.71</v>
      </c>
      <c r="P69" s="30">
        <f>Таблица44672342[[#This Row],[Столбец15]]/Таблица44672342[[#This Row],[Столбец14]]*100</f>
        <v>92.885175569293949</v>
      </c>
      <c r="Q69" s="30">
        <v>0</v>
      </c>
      <c r="R69" s="30">
        <v>342.1</v>
      </c>
      <c r="S69" s="25">
        <v>100</v>
      </c>
      <c r="T69" s="20"/>
      <c r="U69" s="75"/>
      <c r="V69" s="94">
        <f>Q66/1000</f>
        <v>208.92599999999999</v>
      </c>
    </row>
    <row r="70" spans="1:22" ht="63" x14ac:dyDescent="0.25">
      <c r="A70" s="61" t="s">
        <v>226</v>
      </c>
      <c r="B70" s="68" t="s">
        <v>295</v>
      </c>
      <c r="C70" s="33"/>
      <c r="D70" s="33"/>
      <c r="E70" s="31">
        <f>Таблица44672342[[#This Row],[Столбец8]]+Таблица44672342[[#This Row],[Столбец11]]+Таблица44672342[[#This Row],[Столбец14]]+Таблица44672342[[#This Row],[Столбец17]]</f>
        <v>6427.4</v>
      </c>
      <c r="F70" s="32">
        <f>Таблица44672342[[#This Row],[Столбец9]]+Таблица44672342[[#This Row],[Столбец12]]+Таблица44672342[[#This Row],[Столбец15]]+Таблица44672342[[#This Row],[Столбец18]]</f>
        <v>0</v>
      </c>
      <c r="G70" s="34">
        <v>0</v>
      </c>
      <c r="H70" s="34">
        <v>6427.4</v>
      </c>
      <c r="I70" s="34">
        <v>0</v>
      </c>
      <c r="J70" s="34">
        <f>Таблица44672342[[#This Row],[Столбец9]]/Таблица44672342[[#This Row],[Столбец8]]*100</f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20"/>
      <c r="U70" s="75"/>
      <c r="V70" s="91"/>
    </row>
    <row r="71" spans="1:22" s="6" customFormat="1" ht="63" x14ac:dyDescent="0.25">
      <c r="A71" s="64" t="s">
        <v>294</v>
      </c>
      <c r="B71" s="42" t="s">
        <v>341</v>
      </c>
      <c r="C71" s="44"/>
      <c r="D71" s="44"/>
      <c r="E71" s="30">
        <f>Таблица44672342[[#This Row],[Столбец8]]+Таблица44672342[[#This Row],[Столбец11]]+Таблица44672342[[#This Row],[Столбец14]]+Таблица44672342[[#This Row],[Столбец17]]</f>
        <v>263592.09999999998</v>
      </c>
      <c r="F71" s="37">
        <f>Таблица44672342[[#This Row],[Столбец9]]+Таблица44672342[[#This Row],[Столбец12]]+Таблица44672342[[#This Row],[Столбец15]]+Таблица44672342[[#This Row],[Столбец18]]</f>
        <v>212862.84000000003</v>
      </c>
      <c r="G71" s="30">
        <f>Таблица44672342[[#This Row],[Столбец6]]/Таблица44672342[[#This Row],[Столбец5]]*100</f>
        <v>80.754635666243431</v>
      </c>
      <c r="H71" s="37">
        <v>36691.800000000003</v>
      </c>
      <c r="I71" s="37">
        <v>27752.880000000001</v>
      </c>
      <c r="J71" s="25">
        <f>Таблица44672342[[#This Row],[Столбец9]]/Таблица44672342[[#This Row],[Столбец8]]*100</f>
        <v>75.637826435334318</v>
      </c>
      <c r="K71" s="37">
        <v>0</v>
      </c>
      <c r="L71" s="37">
        <v>0</v>
      </c>
      <c r="M71" s="37">
        <v>100</v>
      </c>
      <c r="N71" s="37">
        <v>73300.3</v>
      </c>
      <c r="O71" s="37">
        <v>67819.960000000006</v>
      </c>
      <c r="P71" s="30">
        <f>Таблица44672342[[#This Row],[Столбец15]]/Таблица44672342[[#This Row],[Столбец14]]*100</f>
        <v>92.523441241031762</v>
      </c>
      <c r="Q71" s="37">
        <v>153600</v>
      </c>
      <c r="R71" s="37">
        <v>117290</v>
      </c>
      <c r="S71" s="25">
        <f>Таблица44672342[[#This Row],[Столбец18]]/Таблица44672342[[#This Row],[Столбец17]]*100</f>
        <v>76.360677083333329</v>
      </c>
      <c r="T71" s="20"/>
      <c r="U71" s="75"/>
      <c r="V71" s="92"/>
    </row>
    <row r="72" spans="1:22" s="9" customFormat="1" ht="99.6" customHeight="1" x14ac:dyDescent="0.25">
      <c r="A72" s="38">
        <v>13</v>
      </c>
      <c r="B72" s="39" t="s">
        <v>316</v>
      </c>
      <c r="C72" s="50" t="s">
        <v>41</v>
      </c>
      <c r="D72" s="50" t="s">
        <v>21</v>
      </c>
      <c r="E72" s="36">
        <f>Таблица44672342[[#This Row],[Столбец8]]+Таблица44672342[[#This Row],[Столбец11]]+Таблица44672342[[#This Row],[Столбец14]]+Таблица44672342[[#This Row],[Столбец17]]</f>
        <v>37735</v>
      </c>
      <c r="F72" s="36">
        <f>Таблица44672342[[#This Row],[Столбец9]]+Таблица44672342[[#This Row],[Столбец12]]+Таблица44672342[[#This Row],[Столбец15]]+Таблица44672342[[#This Row],[Столбец18]]</f>
        <v>37735</v>
      </c>
      <c r="G72" s="51">
        <f>Таблица44672342[[#This Row],[Столбец6]]/Таблица44672342[[#This Row],[Столбец5]]*100</f>
        <v>100</v>
      </c>
      <c r="H72" s="51">
        <v>37735</v>
      </c>
      <c r="I72" s="40">
        <v>37735</v>
      </c>
      <c r="J72" s="51">
        <f>Таблица44672342[[#This Row],[Столбец9]]/Таблица44672342[[#This Row],[Столбец8]]*100</f>
        <v>100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20"/>
      <c r="U72" s="75"/>
      <c r="V72" s="93"/>
    </row>
    <row r="73" spans="1:22" s="10" customFormat="1" ht="70.150000000000006" customHeight="1" x14ac:dyDescent="0.25">
      <c r="A73" s="38">
        <v>14</v>
      </c>
      <c r="B73" s="39" t="s">
        <v>327</v>
      </c>
      <c r="C73" s="50" t="s">
        <v>42</v>
      </c>
      <c r="D73" s="50" t="s">
        <v>26</v>
      </c>
      <c r="E73" s="36">
        <f>Таблица44672342[[#This Row],[Столбец8]]+Таблица44672342[[#This Row],[Столбец11]]+Таблица44672342[[#This Row],[Столбец14]]+Таблица44672342[[#This Row],[Столбец17]]</f>
        <v>4760635.4000000004</v>
      </c>
      <c r="F73" s="36">
        <f>Таблица44672342[[#This Row],[Столбец9]]+Таблица44672342[[#This Row],[Столбец12]]+Таблица44672342[[#This Row],[Столбец15]]+Таблица44672342[[#This Row],[Столбец18]]</f>
        <v>4735.3999999999996</v>
      </c>
      <c r="G73" s="51">
        <f>Таблица44672342[[#This Row],[Столбец6]]/Таблица44672342[[#This Row],[Столбец5]]*100</f>
        <v>9.9469915297441175E-2</v>
      </c>
      <c r="H73" s="40">
        <v>4735.3999999999996</v>
      </c>
      <c r="I73" s="40">
        <v>4735.3999999999996</v>
      </c>
      <c r="J73" s="51">
        <f>Таблица44672342[[#This Row],[Столбец9]]/Таблица44672342[[#This Row],[Столбец8]]*100</f>
        <v>100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4755900</v>
      </c>
      <c r="R73" s="40">
        <v>0</v>
      </c>
      <c r="S73" s="51">
        <v>0</v>
      </c>
      <c r="T73" s="20"/>
      <c r="U73" s="75"/>
      <c r="V73" s="92"/>
    </row>
    <row r="74" spans="1:22" ht="88.5" customHeight="1" x14ac:dyDescent="0.25">
      <c r="A74" s="38">
        <v>15</v>
      </c>
      <c r="B74" s="39" t="s">
        <v>10</v>
      </c>
      <c r="C74" s="35" t="s">
        <v>43</v>
      </c>
      <c r="D74" s="35" t="s">
        <v>243</v>
      </c>
      <c r="E74" s="36">
        <f>SUM(E75:E78)</f>
        <v>3287741.8</v>
      </c>
      <c r="F74" s="36">
        <f>SUM(F75:F78)</f>
        <v>2958182.3699999996</v>
      </c>
      <c r="G74" s="40">
        <f>Таблица44672342[[#This Row],[Столбец6]]/Таблица44672342[[#This Row],[Столбец5]]*100</f>
        <v>89.976115825153897</v>
      </c>
      <c r="H74" s="40">
        <f>H75+H76+H77+H78</f>
        <v>3287741.8</v>
      </c>
      <c r="I74" s="40">
        <f>SUM(I75:I78)</f>
        <v>2958182.3699999996</v>
      </c>
      <c r="J74" s="40">
        <f>Таблица44672342[[#This Row],[Столбец9]]/Таблица44672342[[#This Row],[Столбец8]]*100</f>
        <v>89.976115825153897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24"/>
      <c r="U74" s="75"/>
      <c r="V74" s="94">
        <f>Таблица44672342[[#This Row],[Столбец9]]/1000</f>
        <v>2958.1823699999995</v>
      </c>
    </row>
    <row r="75" spans="1:22" ht="38.450000000000003" customHeight="1" x14ac:dyDescent="0.25">
      <c r="A75" s="61" t="s">
        <v>58</v>
      </c>
      <c r="B75" s="53" t="s">
        <v>203</v>
      </c>
      <c r="C75" s="54"/>
      <c r="D75" s="54"/>
      <c r="E75" s="25">
        <f>SUM(Таблица44672342[[#This Row],[Столбец8]]+Таблица44672342[[#This Row],[Столбец11]])</f>
        <v>1156462.8</v>
      </c>
      <c r="F75" s="25">
        <f>Таблица44672342[[#This Row],[Столбец9]]+Таблица44672342[[#This Row],[Столбец12]]+Таблица44672342[[#This Row],[Столбец15]]+Таблица44672342[[#This Row],[Столбец18]]</f>
        <v>994067.98</v>
      </c>
      <c r="G75" s="25">
        <f>Таблица44672342[[#This Row],[Столбец6]]/Таблица44672342[[#This Row],[Столбец5]]*100</f>
        <v>85.957626998464619</v>
      </c>
      <c r="H75" s="25">
        <v>1156462.8</v>
      </c>
      <c r="I75" s="25">
        <v>994067.98</v>
      </c>
      <c r="J75" s="25">
        <f>Таблица44672342[[#This Row],[Столбец9]]/Таблица44672342[[#This Row],[Столбец8]]*100</f>
        <v>85.957626998464619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0" t="s">
        <v>262</v>
      </c>
      <c r="U75" s="75"/>
      <c r="V75" s="91"/>
    </row>
    <row r="76" spans="1:22" ht="81" customHeight="1" x14ac:dyDescent="0.25">
      <c r="A76" s="61" t="s">
        <v>59</v>
      </c>
      <c r="B76" s="53" t="s">
        <v>204</v>
      </c>
      <c r="C76" s="54"/>
      <c r="D76" s="54"/>
      <c r="E76" s="25">
        <f>SUM(Таблица44672342[[#This Row],[Столбец8]]+Таблица44672342[[#This Row],[Столбец11]])</f>
        <v>743425.1</v>
      </c>
      <c r="F76" s="25">
        <f>Таблица44672342[[#This Row],[Столбец9]]+Таблица44672342[[#This Row],[Столбец12]]+Таблица44672342[[#This Row],[Столбец15]]+Таблица44672342[[#This Row],[Столбец18]]</f>
        <v>625863.31999999995</v>
      </c>
      <c r="G76" s="25">
        <f>Таблица44672342[[#This Row],[Столбец6]]/Таблица44672342[[#This Row],[Столбец5]]*100</f>
        <v>84.186466128195022</v>
      </c>
      <c r="H76" s="25">
        <v>743425.1</v>
      </c>
      <c r="I76" s="25">
        <v>625863.31999999995</v>
      </c>
      <c r="J76" s="25">
        <f>Таблица44672342[[#This Row],[Столбец9]]/Таблица44672342[[#This Row],[Столбец8]]*100</f>
        <v>84.186466128195022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0"/>
      <c r="U76" s="75"/>
      <c r="V76" s="91"/>
    </row>
    <row r="77" spans="1:22" ht="78.75" x14ac:dyDescent="0.25">
      <c r="A77" s="61" t="s">
        <v>60</v>
      </c>
      <c r="B77" s="53" t="s">
        <v>205</v>
      </c>
      <c r="C77" s="54"/>
      <c r="D77" s="54"/>
      <c r="E77" s="25">
        <f>SUM(Таблица44672342[[#This Row],[Столбец8]]+Таблица44672342[[#This Row],[Столбец11]])</f>
        <v>1318036.3999999999</v>
      </c>
      <c r="F77" s="25">
        <f>Таблица44672342[[#This Row],[Столбец9]]+Таблица44672342[[#This Row],[Столбец12]]+Таблица44672342[[#This Row],[Столбец15]]+Таблица44672342[[#This Row],[Столбец18]]</f>
        <v>1213712.1300000001</v>
      </c>
      <c r="G77" s="25">
        <f>Таблица44672342[[#This Row],[Столбец6]]/Таблица44672342[[#This Row],[Столбец5]]*100</f>
        <v>92.084871859381138</v>
      </c>
      <c r="H77" s="25">
        <v>1318036.3999999999</v>
      </c>
      <c r="I77" s="25">
        <v>1213712.1300000001</v>
      </c>
      <c r="J77" s="25">
        <f>Таблица44672342[[#This Row],[Столбец9]]/Таблица44672342[[#This Row],[Столбец8]]*100</f>
        <v>92.084871859381138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0"/>
      <c r="U77" s="75"/>
      <c r="V77" s="91"/>
    </row>
    <row r="78" spans="1:22" ht="94.5" x14ac:dyDescent="0.25">
      <c r="A78" s="61" t="s">
        <v>61</v>
      </c>
      <c r="B78" s="53" t="s">
        <v>206</v>
      </c>
      <c r="C78" s="54"/>
      <c r="D78" s="54"/>
      <c r="E78" s="25">
        <f>SUM(Таблица44672342[[#This Row],[Столбец8]]+Таблица44672342[[#This Row],[Столбец11]])</f>
        <v>69817.5</v>
      </c>
      <c r="F78" s="25">
        <f>Таблица44672342[[#This Row],[Столбец9]]+Таблица44672342[[#This Row],[Столбец12]]+Таблица44672342[[#This Row],[Столбец15]]+Таблица44672342[[#This Row],[Столбец18]]</f>
        <v>124538.93999999999</v>
      </c>
      <c r="G78" s="25">
        <f>Таблица44672342[[#This Row],[Столбец6]]/Таблица44672342[[#This Row],[Столбец5]]*100</f>
        <v>178.37782790847564</v>
      </c>
      <c r="H78" s="25">
        <v>69817.5</v>
      </c>
      <c r="I78" s="25">
        <v>124538.93999999999</v>
      </c>
      <c r="J78" s="25">
        <f>Таблица44672342[[#This Row],[Столбец9]]/Таблица44672342[[#This Row],[Столбец8]]*100</f>
        <v>178.37782790847564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0"/>
      <c r="U78" s="75"/>
      <c r="V78" s="91"/>
    </row>
    <row r="79" spans="1:22" ht="74.45" customHeight="1" x14ac:dyDescent="0.25">
      <c r="A79" s="38">
        <v>16</v>
      </c>
      <c r="B79" s="39" t="s">
        <v>11</v>
      </c>
      <c r="C79" s="35" t="s">
        <v>44</v>
      </c>
      <c r="D79" s="35" t="s">
        <v>23</v>
      </c>
      <c r="E79" s="36">
        <f>Таблица44672342[[#This Row],[Столбец8]]+Таблица44672342[[#This Row],[Столбец11]]+Таблица44672342[[#This Row],[Столбец14]]+Таблица44672342[[#This Row],[Столбец17]]</f>
        <v>49302.400000000001</v>
      </c>
      <c r="F79" s="36">
        <f>Таблица44672342[[#This Row],[Столбец9]]+Таблица44672342[[#This Row],[Столбец12]]</f>
        <v>42250.5</v>
      </c>
      <c r="G79" s="40">
        <f>Таблица44672342[[#This Row],[Столбец6]]/Таблица44672342[[#This Row],[Столбец5]]*100</f>
        <v>85.696639514506387</v>
      </c>
      <c r="H79" s="40">
        <v>49302.400000000001</v>
      </c>
      <c r="I79" s="40">
        <v>42250.5</v>
      </c>
      <c r="J79" s="40">
        <f>Таблица44672342[[#This Row],[Столбец9]]/Таблица44672342[[#This Row],[Столбец8]]*100</f>
        <v>85.696639514506387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20" t="s">
        <v>263</v>
      </c>
      <c r="U79" s="75"/>
      <c r="V79" s="91"/>
    </row>
    <row r="80" spans="1:22" ht="66" customHeight="1" x14ac:dyDescent="0.25">
      <c r="A80" s="38">
        <v>17</v>
      </c>
      <c r="B80" s="39" t="s">
        <v>208</v>
      </c>
      <c r="C80" s="35" t="s">
        <v>45</v>
      </c>
      <c r="D80" s="35" t="s">
        <v>16</v>
      </c>
      <c r="E80" s="36">
        <f>Таблица44672342[[#This Row],[Столбец8]]+Таблица44672342[[#This Row],[Столбец11]]+Таблица44672342[[#This Row],[Столбец14]]+Таблица44672342[[#This Row],[Столбец17]]</f>
        <v>48683545.299999997</v>
      </c>
      <c r="F80" s="36">
        <f>Таблица44672342[[#This Row],[Столбец9]]+Таблица44672342[[#This Row],[Столбец12]]+Таблица44672342[[#This Row],[Столбец15]]+Таблица44672342[[#This Row],[Столбец18]]</f>
        <v>45465153.609999992</v>
      </c>
      <c r="G80" s="40">
        <f>Таблица44672342[[#This Row],[Столбец6]]/Таблица44672342[[#This Row],[Столбец5]]*100</f>
        <v>93.389159170377837</v>
      </c>
      <c r="H80" s="40">
        <f>H81+H82+H83+H84+H85+H86+H87</f>
        <v>36213585.299999997</v>
      </c>
      <c r="I80" s="40">
        <f>I81+I82+I83+I84+I85+I86+I87</f>
        <v>37295756.059999995</v>
      </c>
      <c r="J80" s="40">
        <f>Таблица44672342[[#This Row],[Столбец9]]/Таблица44672342[[#This Row],[Столбец8]]*100</f>
        <v>102.98830052599072</v>
      </c>
      <c r="K80" s="40">
        <f>K81+K82+K83+K84+K85+K86+K87</f>
        <v>9050000</v>
      </c>
      <c r="L80" s="40">
        <f>L81+L82+L83+L84+L85+L86+L87</f>
        <v>7361343.3399999999</v>
      </c>
      <c r="M80" s="40">
        <f>Таблица44672342[[#This Row],[Столбец12]]/Таблица44672342[[#This Row],[Столбец11]]*100</f>
        <v>81.34081038674033</v>
      </c>
      <c r="N80" s="40">
        <f>N81+N82+N83+N84+N85+N86++N87</f>
        <v>872000</v>
      </c>
      <c r="O80" s="40">
        <f>O81+O82+O83+O84+O85+O86++O87</f>
        <v>580086.1</v>
      </c>
      <c r="P80" s="40">
        <f>Таблица44672342[[#This Row],[Столбец15]]/Таблица44672342[[#This Row],[Столбец14]]*100</f>
        <v>66.523635321100912</v>
      </c>
      <c r="Q80" s="40">
        <f>Q81+Q82+Q83+Q84+Q85+Q86+Q87</f>
        <v>2547960</v>
      </c>
      <c r="R80" s="40">
        <f>R81+R82+R83+R84+R85+R86+R87</f>
        <v>227968.11</v>
      </c>
      <c r="S80" s="36">
        <f>Таблица44672342[[#This Row],[Столбец18]]/Таблица44672342[[#This Row],[Столбец17]]*100</f>
        <v>8.9470835491922944</v>
      </c>
      <c r="T80" s="20" t="s">
        <v>265</v>
      </c>
      <c r="U80" s="75"/>
      <c r="V80" s="91"/>
    </row>
    <row r="81" spans="1:22" ht="47.25" x14ac:dyDescent="0.25">
      <c r="A81" s="61" t="s">
        <v>97</v>
      </c>
      <c r="B81" s="53" t="s">
        <v>209</v>
      </c>
      <c r="C81" s="54"/>
      <c r="D81" s="54">
        <v>25158078</v>
      </c>
      <c r="E81" s="30">
        <f>Таблица44672342[[#This Row],[Столбец8]]+Таблица44672342[[#This Row],[Столбец11]]+Таблица44672342[[#This Row],[Столбец14]]+Таблица44672342[[#This Row],[Столбец17]]</f>
        <v>623438</v>
      </c>
      <c r="F81" s="25">
        <f>Таблица44672342[[#This Row],[Столбец9]]+Таблица44672342[[#This Row],[Столбец12]]+Таблица44672342[[#This Row],[Столбец15]]+Таблица44672342[[#This Row],[Столбец18]]</f>
        <v>434138</v>
      </c>
      <c r="G81" s="25">
        <f>Таблица44672342[[#This Row],[Столбец6]]/Таблица44672342[[#This Row],[Столбец5]]*100</f>
        <v>69.63611457755222</v>
      </c>
      <c r="H81" s="25">
        <v>434138</v>
      </c>
      <c r="I81" s="25">
        <v>434138</v>
      </c>
      <c r="J81" s="25">
        <f>Таблица44672342[[#This Row],[Столбец9]]/Таблица44672342[[#This Row],[Столбец8]]*100</f>
        <v>100</v>
      </c>
      <c r="K81" s="25">
        <v>0</v>
      </c>
      <c r="L81" s="25">
        <v>0</v>
      </c>
      <c r="M81" s="26">
        <v>0</v>
      </c>
      <c r="N81" s="25">
        <v>0</v>
      </c>
      <c r="O81" s="25">
        <v>0</v>
      </c>
      <c r="P81" s="25">
        <v>0</v>
      </c>
      <c r="Q81" s="25">
        <v>189300</v>
      </c>
      <c r="R81" s="25">
        <v>0</v>
      </c>
      <c r="S81" s="25">
        <v>0</v>
      </c>
      <c r="T81" s="20"/>
      <c r="U81" s="75"/>
      <c r="V81" s="91"/>
    </row>
    <row r="82" spans="1:22" ht="54" customHeight="1" x14ac:dyDescent="0.25">
      <c r="A82" s="61" t="s">
        <v>98</v>
      </c>
      <c r="B82" s="53" t="s">
        <v>210</v>
      </c>
      <c r="C82" s="54"/>
      <c r="D82" s="54"/>
      <c r="E82" s="30">
        <f>Таблица44672342[[#This Row],[Столбец8]]+Таблица44672342[[#This Row],[Столбец11]]+Таблица44672342[[#This Row],[Столбец14]]+Таблица44672342[[#This Row],[Столбец17]]</f>
        <v>115792.1</v>
      </c>
      <c r="F82" s="25">
        <f>Таблица44672342[[#This Row],[Столбец9]]+Таблица44672342[[#This Row],[Столбец12]]</f>
        <v>115792.1</v>
      </c>
      <c r="G82" s="25">
        <f>Таблица44672342[[#This Row],[Столбец6]]/Таблица44672342[[#This Row],[Столбец5]]*100</f>
        <v>100</v>
      </c>
      <c r="H82" s="25">
        <v>115792.1</v>
      </c>
      <c r="I82" s="25">
        <v>115792.1</v>
      </c>
      <c r="J82" s="25">
        <f>Таблица44672342[[#This Row],[Столбец9]]/Таблица44672342[[#This Row],[Столбец8]]*100</f>
        <v>100</v>
      </c>
      <c r="K82" s="25">
        <v>0</v>
      </c>
      <c r="L82" s="25">
        <v>0</v>
      </c>
      <c r="M82" s="26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2"/>
      <c r="U82" s="75"/>
      <c r="V82" s="91"/>
    </row>
    <row r="83" spans="1:22" ht="62.25" customHeight="1" x14ac:dyDescent="0.25">
      <c r="A83" s="61" t="s">
        <v>99</v>
      </c>
      <c r="B83" s="53" t="s">
        <v>211</v>
      </c>
      <c r="C83" s="54"/>
      <c r="D83" s="54"/>
      <c r="E83" s="30">
        <f>Таблица44672342[[#This Row],[Столбец8]]+Таблица44672342[[#This Row],[Столбец11]]+Таблица44672342[[#This Row],[Столбец14]]+Таблица44672342[[#This Row],[Столбец17]]</f>
        <v>606652.19999999995</v>
      </c>
      <c r="F83" s="25">
        <f>Таблица44672342[[#This Row],[Столбец9]]+Таблица44672342[[#This Row],[Столбец12]]+Таблица44672342[[#This Row],[Столбец18]]</f>
        <v>550960.67999999993</v>
      </c>
      <c r="G83" s="25">
        <f>Таблица44672342[[#This Row],[Столбец6]]/Таблица44672342[[#This Row],[Столбец5]]*100</f>
        <v>90.81986020985336</v>
      </c>
      <c r="H83" s="25">
        <v>522352.2</v>
      </c>
      <c r="I83" s="25">
        <v>522352.18</v>
      </c>
      <c r="J83" s="25">
        <f>Таблица44672342[[#This Row],[Столбец9]]/Таблица44672342[[#This Row],[Столбец8]]*100</f>
        <v>99.999996171165733</v>
      </c>
      <c r="K83" s="25">
        <v>20000</v>
      </c>
      <c r="L83" s="25">
        <v>161</v>
      </c>
      <c r="M83" s="26">
        <v>0</v>
      </c>
      <c r="N83" s="25">
        <v>0</v>
      </c>
      <c r="O83" s="25">
        <v>0</v>
      </c>
      <c r="P83" s="25">
        <v>0</v>
      </c>
      <c r="Q83" s="25">
        <v>64300</v>
      </c>
      <c r="R83" s="25">
        <v>28447.5</v>
      </c>
      <c r="S83" s="25">
        <f>Таблица44672342[[#This Row],[Столбец18]]/Таблица44672342[[#This Row],[Столбец17]]*100</f>
        <v>44.241835147744943</v>
      </c>
      <c r="T83" s="20"/>
      <c r="U83" s="75"/>
      <c r="V83" s="91"/>
    </row>
    <row r="84" spans="1:22" ht="63" x14ac:dyDescent="0.25">
      <c r="A84" s="61" t="s">
        <v>100</v>
      </c>
      <c r="B84" s="53" t="s">
        <v>212</v>
      </c>
      <c r="C84" s="54"/>
      <c r="D84" s="54"/>
      <c r="E84" s="30">
        <f>Таблица44672342[[#This Row],[Столбец8]]+Таблица44672342[[#This Row],[Столбец11]]+Таблица44672342[[#This Row],[Столбец14]]+Таблица44672342[[#This Row],[Столбец17]]</f>
        <v>3256313</v>
      </c>
      <c r="F84" s="25">
        <f>Таблица44672342[[#This Row],[Столбец9]]+Таблица44672342[[#This Row],[Столбец12]]+Таблица44672342[[#This Row],[Столбец15]]+Таблица44672342[[#This Row],[Столбец18]]</f>
        <v>2109391.02</v>
      </c>
      <c r="G84" s="25">
        <f>Таблица44672342[[#This Row],[Столбец6]]/Таблица44672342[[#This Row],[Столбец5]]*100</f>
        <v>64.778509314061637</v>
      </c>
      <c r="H84" s="25">
        <v>2109133</v>
      </c>
      <c r="I84" s="25">
        <v>2109391.02</v>
      </c>
      <c r="J84" s="25">
        <f>Таблица44672342[[#This Row],[Столбец9]]/Таблица44672342[[#This Row],[Столбец8]]*100</f>
        <v>100.01223346275461</v>
      </c>
      <c r="K84" s="25">
        <v>0</v>
      </c>
      <c r="L84" s="25">
        <v>0</v>
      </c>
      <c r="M84" s="37">
        <v>0</v>
      </c>
      <c r="N84" s="25">
        <v>0</v>
      </c>
      <c r="O84" s="25">
        <v>0</v>
      </c>
      <c r="P84" s="25">
        <v>0</v>
      </c>
      <c r="Q84" s="25">
        <v>1147180</v>
      </c>
      <c r="R84" s="25">
        <v>0</v>
      </c>
      <c r="S84" s="25">
        <f>Таблица44672342[[#This Row],[Столбец18]]/Таблица44672342[[#This Row],[Столбец17]]*100</f>
        <v>0</v>
      </c>
      <c r="T84" s="20"/>
      <c r="U84" s="75"/>
      <c r="V84" s="91"/>
    </row>
    <row r="85" spans="1:22" ht="43.15" customHeight="1" x14ac:dyDescent="0.25">
      <c r="A85" s="61" t="s">
        <v>101</v>
      </c>
      <c r="B85" s="53" t="s">
        <v>305</v>
      </c>
      <c r="C85" s="54"/>
      <c r="D85" s="54"/>
      <c r="E85" s="30">
        <v>0</v>
      </c>
      <c r="F85" s="25">
        <f>Таблица44672342[[#This Row],[Столбец9]]+Таблица44672342[[#This Row],[Столбец12]]+Таблица44672342[[#This Row],[Столбец15]]+Таблица44672342[[#This Row],[Столбец18]]</f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3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0"/>
      <c r="U85" s="75"/>
      <c r="V85" s="91"/>
    </row>
    <row r="86" spans="1:22" ht="54.6" customHeight="1" x14ac:dyDescent="0.25">
      <c r="A86" s="61" t="s">
        <v>102</v>
      </c>
      <c r="B86" s="53" t="s">
        <v>213</v>
      </c>
      <c r="C86" s="54"/>
      <c r="D86" s="54"/>
      <c r="E86" s="30">
        <f>Таблица44672342[[#This Row],[Столбец8]]+Таблица44672342[[#This Row],[Столбец11]]+Таблица44672342[[#This Row],[Столбец14]]+Таблица44672342[[#This Row],[Столбец17]]</f>
        <v>44010453</v>
      </c>
      <c r="F86" s="25">
        <f>Таблица44672342[[#This Row],[Столбец9]]+Таблица44672342[[#This Row],[Столбец12]]+Таблица44672342[[#This Row],[Столбец15]]+Таблица44672342[[#This Row],[Столбец18]]</f>
        <v>42175399.960000001</v>
      </c>
      <c r="G86" s="25">
        <f>Таблица44672342[[#This Row],[Столбец6]]/Таблица44672342[[#This Row],[Столбец5]]*100</f>
        <v>95.830415469706708</v>
      </c>
      <c r="H86" s="25">
        <v>32961273</v>
      </c>
      <c r="I86" s="25">
        <v>34034610.909999996</v>
      </c>
      <c r="J86" s="25">
        <f>Таблица44672342[[#This Row],[Столбец9]]/Таблица44672342[[#This Row],[Столбец8]]*100</f>
        <v>103.25636060840246</v>
      </c>
      <c r="K86" s="25">
        <v>9030000</v>
      </c>
      <c r="L86" s="25">
        <v>7361182.3399999999</v>
      </c>
      <c r="M86" s="37">
        <f>Таблица44672342[[#This Row],[Столбец12]]/Таблица44672342[[#This Row],[Столбец11]]*100</f>
        <v>81.519184274640082</v>
      </c>
      <c r="N86" s="25">
        <v>872000</v>
      </c>
      <c r="O86" s="25">
        <v>580086.1</v>
      </c>
      <c r="P86" s="25">
        <f>Таблица44672342[[#This Row],[Столбец15]]/Таблица44672342[[#This Row],[Столбец14]]*100</f>
        <v>66.523635321100912</v>
      </c>
      <c r="Q86" s="25">
        <v>1147180</v>
      </c>
      <c r="R86" s="25">
        <v>199520.61</v>
      </c>
      <c r="S86" s="25">
        <f>Таблица44672342[[#This Row],[Столбец18]]/Таблица44672342[[#This Row],[Столбец17]]*100</f>
        <v>17.392267124601194</v>
      </c>
      <c r="T86" s="20"/>
      <c r="U86" s="75"/>
      <c r="V86" s="91"/>
    </row>
    <row r="87" spans="1:22" ht="68.45" customHeight="1" x14ac:dyDescent="0.25">
      <c r="A87" s="61" t="s">
        <v>103</v>
      </c>
      <c r="B87" s="53" t="s">
        <v>79</v>
      </c>
      <c r="C87" s="54"/>
      <c r="D87" s="54"/>
      <c r="E87" s="30">
        <f>Таблица44672342[[#This Row],[Столбец8]]+Таблица44672342[[#This Row],[Столбец11]]+Таблица44672342[[#This Row],[Столбец14]]+Таблица44672342[[#This Row],[Столбец17]]</f>
        <v>70897</v>
      </c>
      <c r="F87" s="25">
        <f>Таблица44672342[[#This Row],[Столбец9]]+Таблица44672342[[#This Row],[Столбец12]]+Таблица44672342[[#This Row],[Столбец15]]+Таблица44672342[[#This Row],[Столбец18]]</f>
        <v>79471.850000000006</v>
      </c>
      <c r="G87" s="25">
        <f>Таблица44672342[[#This Row],[Столбец6]]/Таблица44672342[[#This Row],[Столбец5]]*100</f>
        <v>112.09479949786309</v>
      </c>
      <c r="H87" s="25">
        <v>70897</v>
      </c>
      <c r="I87" s="25">
        <v>79471.850000000006</v>
      </c>
      <c r="J87" s="25">
        <f>Таблица44672342[[#This Row],[Столбец9]]/Таблица44672342[[#This Row],[Столбец8]]*100</f>
        <v>112.09479949786309</v>
      </c>
      <c r="K87" s="25">
        <v>0</v>
      </c>
      <c r="L87" s="25">
        <v>0</v>
      </c>
      <c r="M87" s="37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0"/>
      <c r="U87" s="75"/>
      <c r="V87" s="91"/>
    </row>
    <row r="88" spans="1:22" ht="60.75" customHeight="1" x14ac:dyDescent="0.25">
      <c r="A88" s="38">
        <v>18</v>
      </c>
      <c r="B88" s="39" t="s">
        <v>330</v>
      </c>
      <c r="C88" s="50" t="s">
        <v>46</v>
      </c>
      <c r="D88" s="50" t="s">
        <v>20</v>
      </c>
      <c r="E88" s="51">
        <f>SUM(Таблица44672342[[#This Row],[Столбец8]]+Таблица44672342[[#This Row],[Столбец11]]+Таблица44672342[[#This Row],[Столбец14]]+Таблица44672342[[#This Row],[Столбец17]])</f>
        <v>26096829.399999999</v>
      </c>
      <c r="F88" s="51">
        <f>Таблица44672342[[#This Row],[Столбец9]]+Таблица44672342[[#This Row],[Столбец12]]+Таблица44672342[[#This Row],[Столбец15]]+Таблица44672342[[#This Row],[Столбец18]]</f>
        <v>25135351.799999997</v>
      </c>
      <c r="G88" s="51">
        <f>Таблица44672342[[#This Row],[Столбец6]]/Таблица44672342[[#This Row],[Столбец5]]*100</f>
        <v>96.315730216636965</v>
      </c>
      <c r="H88" s="51">
        <f>SUM(H89:H96)</f>
        <v>20590145.399999999</v>
      </c>
      <c r="I88" s="51">
        <f t="shared" ref="I88:R88" si="3">SUM(I89:I96)</f>
        <v>19604350.999999996</v>
      </c>
      <c r="J88" s="51">
        <f>Таблица44672342[[#This Row],[Столбец9]]/Таблица44672342[[#This Row],[Столбец8]]*100</f>
        <v>95.212299957823504</v>
      </c>
      <c r="K88" s="51">
        <f t="shared" si="3"/>
        <v>5506684.0000000009</v>
      </c>
      <c r="L88" s="51">
        <f t="shared" si="3"/>
        <v>5531000.8000000007</v>
      </c>
      <c r="M88" s="51">
        <f>Таблица44672342[[#This Row],[Столбец12]]/Таблица44672342[[#This Row],[Столбец11]]*100</f>
        <v>100.44158698774071</v>
      </c>
      <c r="N88" s="51">
        <f t="shared" si="3"/>
        <v>0</v>
      </c>
      <c r="O88" s="51">
        <f t="shared" si="3"/>
        <v>0</v>
      </c>
      <c r="P88" s="51">
        <v>0</v>
      </c>
      <c r="Q88" s="51">
        <f t="shared" si="3"/>
        <v>0</v>
      </c>
      <c r="R88" s="51">
        <f t="shared" si="3"/>
        <v>0</v>
      </c>
      <c r="S88" s="51">
        <v>0</v>
      </c>
      <c r="T88" s="20" t="s">
        <v>268</v>
      </c>
      <c r="U88" s="75"/>
      <c r="V88" s="91"/>
    </row>
    <row r="89" spans="1:22" ht="34.15" customHeight="1" x14ac:dyDescent="0.25">
      <c r="A89" s="61" t="s">
        <v>83</v>
      </c>
      <c r="B89" s="53" t="s">
        <v>331</v>
      </c>
      <c r="C89" s="54"/>
      <c r="D89" s="54"/>
      <c r="E89" s="30">
        <f>SUM(Таблица44672342[[#This Row],[Столбец8]]+Таблица44672342[[#This Row],[Столбец11]]+Таблица44672342[[#This Row],[Столбец14]]+Таблица44672342[[#This Row],[Столбец17]])</f>
        <v>4166901.5000000005</v>
      </c>
      <c r="F89" s="25">
        <f>SUM(Таблица44672342[[#This Row],[Столбец9]]+Таблица44672342[[#This Row],[Столбец12]]+Таблица44672342[[#This Row],[Столбец15]]+Таблица44672342[[#This Row],[Столбец18]])</f>
        <v>4192427</v>
      </c>
      <c r="G89" s="25">
        <f>Таблица44672342[[#This Row],[Столбец6]]/Таблица44672342[[#This Row],[Столбец5]]*100</f>
        <v>100.61257747513348</v>
      </c>
      <c r="H89" s="25">
        <v>482645.2</v>
      </c>
      <c r="I89" s="25">
        <v>483853.9</v>
      </c>
      <c r="J89" s="25">
        <f>Таблица44672342[[#This Row],[Столбец9]]/Таблица44672342[[#This Row],[Столбец8]]*100</f>
        <v>100.25043240873421</v>
      </c>
      <c r="K89" s="25">
        <f>3684181.2+75.1</f>
        <v>3684256.3000000003</v>
      </c>
      <c r="L89" s="25">
        <v>3708573.1</v>
      </c>
      <c r="M89" s="37">
        <f>Таблица44672342[[#This Row],[Столбец12]]/Таблица44672342[[#This Row],[Столбец11]]*100</f>
        <v>100.66001922830394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37">
        <v>0</v>
      </c>
      <c r="T89" s="20"/>
      <c r="U89" s="75"/>
      <c r="V89" s="91"/>
    </row>
    <row r="90" spans="1:22" ht="48" customHeight="1" x14ac:dyDescent="0.25">
      <c r="A90" s="61" t="s">
        <v>84</v>
      </c>
      <c r="B90" s="53" t="s">
        <v>332</v>
      </c>
      <c r="C90" s="54"/>
      <c r="D90" s="54"/>
      <c r="E90" s="30">
        <f>SUM(Таблица44672342[[#This Row],[Столбец8]]+Таблица44672342[[#This Row],[Столбец11]]+Таблица44672342[[#This Row],[Столбец14]]+Таблица44672342[[#This Row],[Столбец17]])</f>
        <v>7790514.5</v>
      </c>
      <c r="F90" s="25">
        <f>SUM(Таблица44672342[[#This Row],[Столбец9]]+Таблица44672342[[#This Row],[Столбец12]]+Таблица44672342[[#This Row],[Столбец15]]+Таблица44672342[[#This Row],[Столбец18]])</f>
        <v>7298722.0999999996</v>
      </c>
      <c r="G90" s="25">
        <f>Таблица44672342[[#This Row],[Столбец6]]/Таблица44672342[[#This Row],[Столбец5]]*100</f>
        <v>93.687292411816955</v>
      </c>
      <c r="H90" s="25">
        <v>7789201.9000000004</v>
      </c>
      <c r="I90" s="25">
        <v>7297409.5</v>
      </c>
      <c r="J90" s="25">
        <f>Таблица44672342[[#This Row],[Столбец9]]/Таблица44672342[[#This Row],[Столбец8]]*100</f>
        <v>93.686228623756691</v>
      </c>
      <c r="K90" s="25">
        <v>1312.6</v>
      </c>
      <c r="L90" s="25">
        <v>1312.6</v>
      </c>
      <c r="M90" s="37">
        <f>Таблица44672342[[#This Row],[Столбец12]]/Таблица44672342[[#This Row],[Столбец11]]*100</f>
        <v>100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37">
        <v>0</v>
      </c>
      <c r="T90" s="20"/>
      <c r="U90" s="75"/>
      <c r="V90" s="91"/>
    </row>
    <row r="91" spans="1:22" ht="63" x14ac:dyDescent="0.25">
      <c r="A91" s="61" t="s">
        <v>85</v>
      </c>
      <c r="B91" s="53" t="s">
        <v>333</v>
      </c>
      <c r="C91" s="54"/>
      <c r="D91" s="54"/>
      <c r="E91" s="30">
        <f>SUM(Таблица44672342[[#This Row],[Столбец8]]+Таблица44672342[[#This Row],[Столбец11]]+Таблица44672342[[#This Row],[Столбец14]]+Таблица44672342[[#This Row],[Столбец17]])</f>
        <v>4853149.8</v>
      </c>
      <c r="F91" s="25">
        <f>SUM(Таблица44672342[[#This Row],[Столбец9]]+Таблица44672342[[#This Row],[Столбец12]]+Таблица44672342[[#This Row],[Столбец15]]+Таблица44672342[[#This Row],[Столбец18]])</f>
        <v>4816171.5</v>
      </c>
      <c r="G91" s="25">
        <f>Таблица44672342[[#This Row],[Столбец6]]/Таблица44672342[[#This Row],[Столбец5]]*100</f>
        <v>99.238055664385229</v>
      </c>
      <c r="H91" s="25">
        <v>4848793.2</v>
      </c>
      <c r="I91" s="25">
        <v>4811814.9000000004</v>
      </c>
      <c r="J91" s="25">
        <f>Таблица44672342[[#This Row],[Столбец9]]/Таблица44672342[[#This Row],[Столбец8]]*100</f>
        <v>99.237371063793773</v>
      </c>
      <c r="K91" s="25">
        <v>4356.6000000000004</v>
      </c>
      <c r="L91" s="25">
        <v>4356.6000000000004</v>
      </c>
      <c r="M91" s="25">
        <f>Таблица44672342[[#This Row],[Столбец12]]/Таблица44672342[[#This Row],[Столбец11]]*100</f>
        <v>100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37">
        <v>0</v>
      </c>
      <c r="T91" s="20"/>
      <c r="U91" s="75"/>
      <c r="V91" s="91"/>
    </row>
    <row r="92" spans="1:22" ht="39" customHeight="1" x14ac:dyDescent="0.25">
      <c r="A92" s="61" t="s">
        <v>86</v>
      </c>
      <c r="B92" s="53" t="s">
        <v>254</v>
      </c>
      <c r="C92" s="54"/>
      <c r="D92" s="54"/>
      <c r="E92" s="30">
        <f>SUM(Таблица44672342[[#This Row],[Столбец8]]+Таблица44672342[[#This Row],[Столбец11]]+Таблица44672342[[#This Row],[Столбец14]]+Таблица44672342[[#This Row],[Столбец17]])</f>
        <v>3430.1</v>
      </c>
      <c r="F92" s="25">
        <f>SUM(Таблица44672342[[#This Row],[Столбец9]]+Таблица44672342[[#This Row],[Столбец12]]+Таблица44672342[[#This Row],[Столбец15]]+Таблица44672342[[#This Row],[Столбец18]])</f>
        <v>3430.1</v>
      </c>
      <c r="G92" s="69">
        <f>Таблица44672342[[#This Row],[Столбец6]]/Таблица44672342[[#This Row],[Столбец5]]*100</f>
        <v>100</v>
      </c>
      <c r="H92" s="25">
        <v>3430.1</v>
      </c>
      <c r="I92" s="25">
        <v>3430.1</v>
      </c>
      <c r="J92" s="25">
        <f>Таблица44672342[[#This Row],[Столбец9]]/Таблица44672342[[#This Row],[Столбец8]]*100</f>
        <v>100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37">
        <v>0</v>
      </c>
      <c r="T92" s="20"/>
      <c r="U92" s="75"/>
      <c r="V92" s="91"/>
    </row>
    <row r="93" spans="1:22" ht="47.25" x14ac:dyDescent="0.25">
      <c r="A93" s="61" t="s">
        <v>87</v>
      </c>
      <c r="B93" s="53" t="s">
        <v>334</v>
      </c>
      <c r="C93" s="54"/>
      <c r="D93" s="54"/>
      <c r="E93" s="30">
        <f>SUM(Таблица44672342[[#This Row],[Столбец8]]+Таблица44672342[[#This Row],[Столбец11]]+Таблица44672342[[#This Row],[Столбец14]]+Таблица44672342[[#This Row],[Столбец17]])</f>
        <v>8789457.5</v>
      </c>
      <c r="F93" s="25">
        <f>SUM(Таблица44672342[[#This Row],[Столбец9]]+Таблица44672342[[#This Row],[Столбец12]]+Таблица44672342[[#This Row],[Столбец15]]+Таблица44672342[[#This Row],[Столбец18]])</f>
        <v>8329406.2000000002</v>
      </c>
      <c r="G93" s="25">
        <f>Таблица44672342[[#This Row],[Столбец6]]/Таблица44672342[[#This Row],[Столбец5]]*100</f>
        <v>94.765873775486142</v>
      </c>
      <c r="H93" s="25">
        <v>6988165.7000000002</v>
      </c>
      <c r="I93" s="25">
        <v>6528114.4000000004</v>
      </c>
      <c r="J93" s="25">
        <f>Таблица44672342[[#This Row],[Столбец9]]/Таблица44672342[[#This Row],[Столбец8]]*100</f>
        <v>93.416708765220037</v>
      </c>
      <c r="K93" s="37">
        <v>1801291.8</v>
      </c>
      <c r="L93" s="37">
        <v>1801291.8</v>
      </c>
      <c r="M93" s="25">
        <f>Таблица44672342[[#This Row],[Столбец12]]/Таблица44672342[[#This Row],[Столбец11]]*100</f>
        <v>100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37">
        <v>0</v>
      </c>
      <c r="T93" s="20"/>
      <c r="U93" s="75"/>
      <c r="V93" s="91"/>
    </row>
    <row r="94" spans="1:22" ht="57.6" customHeight="1" x14ac:dyDescent="0.25">
      <c r="A94" s="78" t="s">
        <v>269</v>
      </c>
      <c r="B94" s="42" t="s">
        <v>335</v>
      </c>
      <c r="C94" s="45"/>
      <c r="D94" s="45"/>
      <c r="E94" s="30">
        <f>Таблица44672342[[#This Row],[Столбец8]]+Таблица44672342[[#This Row],[Столбец11]]+Таблица44672342[[#This Row],[Столбец14]]+Таблица44672342[[#This Row],[Столбец17]]</f>
        <v>322216.90000000002</v>
      </c>
      <c r="F94" s="25">
        <f>Таблица44672342[[#This Row],[Столбец9]]+Таблица44672342[[#This Row],[Столбец12]]+Таблица44672342[[#This Row],[Столбец15]]+Таблица44672342[[#This Row],[Столбец18]]</f>
        <v>322216.90000000002</v>
      </c>
      <c r="G94" s="37">
        <f>Таблица44672342[[#This Row],[Столбец6]]/Таблица44672342[[#This Row],[Столбец5]]*100</f>
        <v>100</v>
      </c>
      <c r="H94" s="37">
        <v>322216.90000000002</v>
      </c>
      <c r="I94" s="37">
        <v>322216.90000000002</v>
      </c>
      <c r="J94" s="37">
        <f>Таблица44672342[[#This Row],[Столбец9]]/Таблица44672342[[#This Row],[Столбец8]]*100</f>
        <v>100</v>
      </c>
      <c r="K94" s="25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22"/>
      <c r="U94" s="75"/>
      <c r="V94" s="91"/>
    </row>
    <row r="95" spans="1:22" ht="49.15" customHeight="1" x14ac:dyDescent="0.25">
      <c r="A95" s="61" t="s">
        <v>270</v>
      </c>
      <c r="B95" s="53" t="s">
        <v>292</v>
      </c>
      <c r="C95" s="54"/>
      <c r="D95" s="54"/>
      <c r="E95" s="30">
        <f>SUM(Таблица44672342[[#This Row],[Столбец8]]+Таблица44672342[[#This Row],[Столбец11]]+Таблица44672342[[#This Row],[Столбец14]]+Таблица44672342[[#This Row],[Столбец17]])</f>
        <v>26907.599999999999</v>
      </c>
      <c r="F95" s="25">
        <f>SUM(Таблица44672342[[#This Row],[Столбец9]]+Таблица44672342[[#This Row],[Столбец12]]+Таблица44672342[[#This Row],[Столбец15]]+Таблица44672342[[#This Row],[Столбец18]])</f>
        <v>26907.599999999999</v>
      </c>
      <c r="G95" s="25">
        <f>Таблица44672342[[#This Row],[Столбец6]]/Таблица44672342[[#This Row],[Столбец5]]*100</f>
        <v>100</v>
      </c>
      <c r="H95" s="25">
        <v>11440.9</v>
      </c>
      <c r="I95" s="25">
        <v>11440.9</v>
      </c>
      <c r="J95" s="25">
        <f>Таблица44672342[[#This Row],[Столбец9]]/Таблица44672342[[#This Row],[Столбец8]]*100</f>
        <v>100</v>
      </c>
      <c r="K95" s="37">
        <v>15466.7</v>
      </c>
      <c r="L95" s="37">
        <v>15466.7</v>
      </c>
      <c r="M95" s="25">
        <f>Таблица44672342[[#This Row],[Столбец12]]/Таблица44672342[[#This Row],[Столбец11]]*100</f>
        <v>100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37">
        <v>0</v>
      </c>
      <c r="T95" s="20"/>
      <c r="U95" s="75"/>
      <c r="V95" s="91"/>
    </row>
    <row r="96" spans="1:22" ht="81.599999999999994" customHeight="1" x14ac:dyDescent="0.25">
      <c r="A96" s="64" t="s">
        <v>271</v>
      </c>
      <c r="B96" s="42" t="s">
        <v>296</v>
      </c>
      <c r="C96" s="44"/>
      <c r="D96" s="44"/>
      <c r="E96" s="30">
        <f>SUM(Таблица44672342[[#This Row],[Столбец8]]+Таблица44672342[[#This Row],[Столбец11]]+Таблица44672342[[#This Row],[Столбец14]]+Таблица44672342[[#This Row],[Столбец17]])</f>
        <v>144251.5</v>
      </c>
      <c r="F96" s="25">
        <f>SUM(Таблица44672342[[#This Row],[Столбец9]]+Таблица44672342[[#This Row],[Столбец12]]+Таблица44672342[[#This Row],[Столбец15]]+Таблица44672342[[#This Row],[Столбец18]])</f>
        <v>146070.39999999999</v>
      </c>
      <c r="G96" s="25">
        <f>Таблица44672342[[#This Row],[Столбец6]]/Таблица44672342[[#This Row],[Столбец5]]*100</f>
        <v>101.26092276336813</v>
      </c>
      <c r="H96" s="37">
        <v>144251.5</v>
      </c>
      <c r="I96" s="37">
        <v>146070.39999999999</v>
      </c>
      <c r="J96" s="25">
        <f>Таблица44672342[[#This Row],[Столбец9]]/Таблица44672342[[#This Row],[Столбец8]]*100</f>
        <v>101.26092276336813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20"/>
      <c r="U96" s="75"/>
      <c r="V96" s="95">
        <f>E97/1000</f>
        <v>959.04539000000011</v>
      </c>
    </row>
    <row r="97" spans="1:22" ht="83.45" customHeight="1" x14ac:dyDescent="0.25">
      <c r="A97" s="38" t="s">
        <v>104</v>
      </c>
      <c r="B97" s="55" t="s">
        <v>329</v>
      </c>
      <c r="C97" s="50" t="s">
        <v>47</v>
      </c>
      <c r="D97" s="50" t="s">
        <v>27</v>
      </c>
      <c r="E97" s="36">
        <f>SUM(Таблица44672342[[#This Row],[Столбец8]]+Таблица44672342[[#This Row],[Столбец11]]+Таблица44672342[[#This Row],[Столбец14]]+Таблица44672342[[#This Row],[Столбец17]])</f>
        <v>959045.39000000013</v>
      </c>
      <c r="F97" s="51">
        <f>Таблица44672342[[#This Row],[Столбец9]]+Таблица44672342[[#This Row],[Столбец12]]+Таблица44672342[[#This Row],[Столбец15]]+Таблица44672342[[#This Row],[Столбец18]]</f>
        <v>693239.41999999993</v>
      </c>
      <c r="G97" s="51">
        <f>Таблица44672342[[#This Row],[Столбец6]]/Таблица44672342[[#This Row],[Столбец5]]*100</f>
        <v>72.284318055060965</v>
      </c>
      <c r="H97" s="51">
        <f>SUM(H98:H104)</f>
        <v>614465.09000000008</v>
      </c>
      <c r="I97" s="51">
        <f>SUM(I98:I104)</f>
        <v>539991.96</v>
      </c>
      <c r="J97" s="51">
        <f>Таблица44672342[[#This Row],[Столбец9]]/Таблица44672342[[#This Row],[Столбец8]]*100</f>
        <v>87.880006332011448</v>
      </c>
      <c r="K97" s="51">
        <f>SUM(K98:K104)</f>
        <v>70035.399999999994</v>
      </c>
      <c r="L97" s="51">
        <f>SUM(L98:L104)</f>
        <v>13385.1</v>
      </c>
      <c r="M97" s="51">
        <f>Таблица44672342[[#This Row],[Столбец12]]/Таблица44672342[[#This Row],[Столбец11]]*100</f>
        <v>19.111906264546217</v>
      </c>
      <c r="N97" s="40">
        <f>SUM(N98:N104)</f>
        <v>274544.90000000002</v>
      </c>
      <c r="O97" s="40">
        <f>SUM(O98:O104)</f>
        <v>139862.35999999999</v>
      </c>
      <c r="P97" s="40">
        <f>Таблица44672342[[#This Row],[Столбец15]]/Таблица44672342[[#This Row],[Столбец14]]*100</f>
        <v>50.943346607421944</v>
      </c>
      <c r="Q97" s="51">
        <f>SUM(Q98:Q104)</f>
        <v>0</v>
      </c>
      <c r="R97" s="51">
        <f>SUM(R98:R104)</f>
        <v>0</v>
      </c>
      <c r="S97" s="51">
        <v>0</v>
      </c>
      <c r="T97" s="20" t="s">
        <v>281</v>
      </c>
      <c r="U97" s="75"/>
      <c r="V97" s="95">
        <f>Таблица44672342[[#This Row],[Столбец8]]/1000</f>
        <v>614.46509000000003</v>
      </c>
    </row>
    <row r="98" spans="1:22" ht="87.6" customHeight="1" x14ac:dyDescent="0.25">
      <c r="A98" s="61" t="s">
        <v>105</v>
      </c>
      <c r="B98" s="53" t="s">
        <v>342</v>
      </c>
      <c r="C98" s="54"/>
      <c r="D98" s="25"/>
      <c r="E98" s="30">
        <f>SUM(Таблица44672342[[#This Row],[Столбец8]]+Таблица44672342[[#This Row],[Столбец11]]+Таблица44672342[[#This Row],[Столбец14]]+Таблица44672342[[#This Row],[Столбец17]])</f>
        <v>82252.899999999994</v>
      </c>
      <c r="F98" s="37">
        <f>Таблица44672342[[#This Row],[Столбец9]]+Таблица44672342[[#This Row],[Столбец12]]+Таблица44672342[[#This Row],[Столбец15]]+Таблица44672342[[#This Row],[Столбец18]]</f>
        <v>70804.67</v>
      </c>
      <c r="G98" s="25">
        <f>Таблица44672342[[#This Row],[Столбец6]]/Таблица44672342[[#This Row],[Столбец5]]*100</f>
        <v>86.081670068775693</v>
      </c>
      <c r="H98" s="25">
        <v>82252.899999999994</v>
      </c>
      <c r="I98" s="25">
        <v>70804.67</v>
      </c>
      <c r="J98" s="25">
        <f>Таблица44672342[[#This Row],[Столбец9]]/Таблица44672342[[#This Row],[Столбец8]]*100</f>
        <v>86.081670068775693</v>
      </c>
      <c r="K98" s="25">
        <v>0</v>
      </c>
      <c r="L98" s="25">
        <v>0</v>
      </c>
      <c r="M98" s="25">
        <v>0</v>
      </c>
      <c r="N98" s="37">
        <v>0</v>
      </c>
      <c r="O98" s="37">
        <v>0</v>
      </c>
      <c r="P98" s="37">
        <v>0</v>
      </c>
      <c r="Q98" s="25">
        <v>0</v>
      </c>
      <c r="R98" s="25">
        <v>0</v>
      </c>
      <c r="S98" s="25">
        <v>0</v>
      </c>
      <c r="T98" s="20"/>
      <c r="U98" s="75"/>
      <c r="V98" s="95">
        <f>K97/1000</f>
        <v>70.035399999999996</v>
      </c>
    </row>
    <row r="99" spans="1:22" ht="80.45" customHeight="1" x14ac:dyDescent="0.25">
      <c r="A99" s="61" t="s">
        <v>106</v>
      </c>
      <c r="B99" s="53" t="s">
        <v>343</v>
      </c>
      <c r="C99" s="54"/>
      <c r="D99" s="54"/>
      <c r="E99" s="30">
        <f>SUM(Таблица44672342[[#This Row],[Столбец8]]+Таблица44672342[[#This Row],[Столбец11]]+Таблица44672342[[#This Row],[Столбец14]]+Таблица44672342[[#This Row],[Столбец17]])</f>
        <v>17759.349999999999</v>
      </c>
      <c r="F99" s="37">
        <f>Таблица44672342[[#This Row],[Столбец9]]+Таблица44672342[[#This Row],[Столбец12]]+Таблица44672342[[#This Row],[Столбец15]]+Таблица44672342[[#This Row],[Столбец18]]</f>
        <v>17759.349999999999</v>
      </c>
      <c r="G99" s="25">
        <f>Таблица44672342[[#This Row],[Столбец6]]/Таблица44672342[[#This Row],[Столбец5]]*100</f>
        <v>100</v>
      </c>
      <c r="H99" s="25">
        <v>17759.349999999999</v>
      </c>
      <c r="I99" s="25">
        <v>17759.349999999999</v>
      </c>
      <c r="J99" s="25">
        <f>Таблица44672342[[#This Row],[Столбец9]]/Таблица44672342[[#This Row],[Столбец8]]*100</f>
        <v>100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0"/>
      <c r="U99" s="75"/>
      <c r="V99" s="95">
        <f>N97/1000</f>
        <v>274.54490000000004</v>
      </c>
    </row>
    <row r="100" spans="1:22" ht="73.150000000000006" customHeight="1" x14ac:dyDescent="0.25">
      <c r="A100" s="61" t="s">
        <v>107</v>
      </c>
      <c r="B100" s="53" t="s">
        <v>344</v>
      </c>
      <c r="C100" s="54"/>
      <c r="D100" s="54"/>
      <c r="E100" s="30">
        <f>SUM(Таблица44672342[[#This Row],[Столбец8]]+Таблица44672342[[#This Row],[Столбец11]]+Таблица44672342[[#This Row],[Столбец14]]+Таблица44672342[[#This Row],[Столбец17]])</f>
        <v>37500</v>
      </c>
      <c r="F100" s="37">
        <f>Таблица44672342[[#This Row],[Столбец9]]+Таблица44672342[[#This Row],[Столбец12]]+Таблица44672342[[#This Row],[Столбец15]]+Таблица44672342[[#This Row],[Столбец18]]</f>
        <v>12000</v>
      </c>
      <c r="G100" s="25">
        <f>Таблица44672342[[#This Row],[Столбец6]]/Таблица44672342[[#This Row],[Столбец5]]*100</f>
        <v>32</v>
      </c>
      <c r="H100" s="25">
        <v>37500</v>
      </c>
      <c r="I100" s="25">
        <v>12000</v>
      </c>
      <c r="J100" s="25">
        <f>Таблица44672342[[#This Row],[Столбец9]]/Таблица44672342[[#This Row],[Столбец8]]*100</f>
        <v>32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0"/>
      <c r="U100" s="75"/>
      <c r="V100" s="94"/>
    </row>
    <row r="101" spans="1:22" ht="62.25" customHeight="1" x14ac:dyDescent="0.25">
      <c r="A101" s="61" t="s">
        <v>108</v>
      </c>
      <c r="B101" s="53" t="s">
        <v>345</v>
      </c>
      <c r="C101" s="54"/>
      <c r="D101" s="66"/>
      <c r="E101" s="30">
        <f>SUM(Таблица44672342[[#This Row],[Столбец8]]+Таблица44672342[[#This Row],[Столбец11]]+Таблица44672342[[#This Row],[Столбец14]]+Таблица44672342[[#This Row],[Столбец17]])</f>
        <v>231812.58000000002</v>
      </c>
      <c r="F101" s="37">
        <f>Таблица44672342[[#This Row],[Столбец9]]+Таблица44672342[[#This Row],[Столбец12]]+Таблица44672342[[#This Row],[Столбец15]]+Таблица44672342[[#This Row],[Столбец18]]</f>
        <v>165326.87</v>
      </c>
      <c r="G101" s="25">
        <f>Таблица44672342[[#This Row],[Столбец6]]/Таблица44672342[[#This Row],[Столбец5]]*100</f>
        <v>71.319196740746321</v>
      </c>
      <c r="H101" s="25">
        <v>181317.88</v>
      </c>
      <c r="I101" s="25">
        <v>165326.87</v>
      </c>
      <c r="J101" s="25">
        <f>Таблица44672342[[#This Row],[Столбец9]]/Таблица44672342[[#This Row],[Столбец8]]*100</f>
        <v>91.180676720905836</v>
      </c>
      <c r="K101" s="25">
        <v>50494.7</v>
      </c>
      <c r="L101" s="25">
        <v>0</v>
      </c>
      <c r="M101" s="25">
        <f>Таблица44672342[[#This Row],[Столбец12]]/Таблица44672342[[#This Row],[Столбец11]]*100</f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0"/>
      <c r="U101" s="75"/>
      <c r="V101" s="94"/>
    </row>
    <row r="102" spans="1:22" ht="59.45" customHeight="1" x14ac:dyDescent="0.25">
      <c r="A102" s="61" t="s">
        <v>109</v>
      </c>
      <c r="B102" s="53" t="s">
        <v>346</v>
      </c>
      <c r="C102" s="54"/>
      <c r="D102" s="54"/>
      <c r="E102" s="30">
        <f>SUM(Таблица44672342[[#This Row],[Столбец8]]+Таблица44672342[[#This Row],[Столбец11]]+Таблица44672342[[#This Row],[Столбец14]]+Таблица44672342[[#This Row],[Столбец17]])</f>
        <v>33386.559999999998</v>
      </c>
      <c r="F102" s="37">
        <f>Таблица44672342[[#This Row],[Столбец9]]+Таблица44672342[[#This Row],[Столбец12]]+Таблица44672342[[#This Row],[Столбец15]]+Таблица44672342[[#This Row],[Столбец18]]</f>
        <v>35913.370000000003</v>
      </c>
      <c r="G102" s="25">
        <f>Таблица44672342[[#This Row],[Столбец6]]/Таблица44672342[[#This Row],[Столбец5]]*100</f>
        <v>107.56834486691653</v>
      </c>
      <c r="H102" s="25">
        <v>33386.559999999998</v>
      </c>
      <c r="I102" s="25">
        <v>35913.370000000003</v>
      </c>
      <c r="J102" s="25">
        <f>Таблица44672342[[#This Row],[Столбец9]]/Таблица44672342[[#This Row],[Столбец8]]*100</f>
        <v>107.56834486691653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0"/>
      <c r="U102" s="75"/>
      <c r="V102" s="94"/>
    </row>
    <row r="103" spans="1:22" ht="60.6" customHeight="1" x14ac:dyDescent="0.25">
      <c r="A103" s="61" t="s">
        <v>110</v>
      </c>
      <c r="B103" s="53" t="s">
        <v>347</v>
      </c>
      <c r="C103" s="54"/>
      <c r="D103" s="54"/>
      <c r="E103" s="30">
        <f>SUM(Таблица44672342[[#This Row],[Столбец8]]+Таблица44672342[[#This Row],[Столбец11]]+Таблица44672342[[#This Row],[Столбец14]]+Таблица44672342[[#This Row],[Столбец17]])</f>
        <v>58066.399999999994</v>
      </c>
      <c r="F103" s="37">
        <f>Таблица44672342[[#This Row],[Столбец9]]+Таблица44672342[[#This Row],[Столбец12]]+Таблица44672342[[#This Row],[Столбец15]]+Таблица44672342[[#This Row],[Столбец18]]</f>
        <v>45353.72</v>
      </c>
      <c r="G103" s="25">
        <f>Таблица44672342[[#This Row],[Столбец6]]/Таблица44672342[[#This Row],[Столбец5]]*100</f>
        <v>78.106650317567485</v>
      </c>
      <c r="H103" s="25">
        <v>38525.699999999997</v>
      </c>
      <c r="I103" s="25">
        <v>31968.62</v>
      </c>
      <c r="J103" s="25">
        <f>Таблица44672342[[#This Row],[Столбец9]]/Таблица44672342[[#This Row],[Столбец8]]*100</f>
        <v>82.97998478937437</v>
      </c>
      <c r="K103" s="25">
        <v>19540.7</v>
      </c>
      <c r="L103" s="25">
        <v>13385.1</v>
      </c>
      <c r="M103" s="25">
        <f>Таблица44672342[[#This Row],[Столбец12]]/Таблица44672342[[#This Row],[Столбец11]]*100</f>
        <v>68.498569652059544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0"/>
      <c r="U103" s="75"/>
      <c r="V103" s="91"/>
    </row>
    <row r="104" spans="1:22" ht="88.9" customHeight="1" x14ac:dyDescent="0.25">
      <c r="A104" s="61" t="s">
        <v>111</v>
      </c>
      <c r="B104" s="53" t="s">
        <v>348</v>
      </c>
      <c r="C104" s="54"/>
      <c r="D104" s="54"/>
      <c r="E104" s="30">
        <f>SUM(Таблица44672342[[#This Row],[Столбец8]]+Таблица44672342[[#This Row],[Столбец11]]+Таблица44672342[[#This Row],[Столбец14]]+Таблица44672342[[#This Row],[Столбец17]])</f>
        <v>498267.60000000003</v>
      </c>
      <c r="F104" s="37">
        <f>Таблица44672342[[#This Row],[Столбец9]]+Таблица44672342[[#This Row],[Столбец12]]+Таблица44672342[[#This Row],[Столбец15]]+Таблица44672342[[#This Row],[Столбец18]]</f>
        <v>346081.43999999994</v>
      </c>
      <c r="G104" s="25">
        <f>Таблица44672342[[#This Row],[Столбец6]]/Таблица44672342[[#This Row],[Столбец5]]*100</f>
        <v>69.456942414076266</v>
      </c>
      <c r="H104" s="25">
        <v>223722.7</v>
      </c>
      <c r="I104" s="25">
        <v>206219.08</v>
      </c>
      <c r="J104" s="25">
        <f>Таблица44672342[[#This Row],[Столбец9]]/Таблица44672342[[#This Row],[Столбец8]]*100</f>
        <v>92.17619848142364</v>
      </c>
      <c r="K104" s="25">
        <v>0</v>
      </c>
      <c r="L104" s="25">
        <v>0</v>
      </c>
      <c r="M104" s="25">
        <v>0</v>
      </c>
      <c r="N104" s="25">
        <v>274544.90000000002</v>
      </c>
      <c r="O104" s="25">
        <v>139862.35999999999</v>
      </c>
      <c r="P104" s="25">
        <v>0</v>
      </c>
      <c r="Q104" s="25">
        <v>0</v>
      </c>
      <c r="R104" s="25">
        <v>0</v>
      </c>
      <c r="S104" s="25">
        <v>0</v>
      </c>
      <c r="T104" s="20"/>
      <c r="U104" s="75"/>
      <c r="V104" s="91"/>
    </row>
    <row r="105" spans="1:22" ht="47.25" x14ac:dyDescent="0.25">
      <c r="A105" s="38">
        <v>20</v>
      </c>
      <c r="B105" s="39" t="s">
        <v>12</v>
      </c>
      <c r="C105" s="35" t="s">
        <v>48</v>
      </c>
      <c r="D105" s="35" t="s">
        <v>23</v>
      </c>
      <c r="E105" s="36">
        <f>Таблица44672342[[#This Row],[Столбец8]]+Таблица44672342[[#This Row],[Столбец11]]+Таблица44672342[[#This Row],[Столбец14]]+Таблица44672342[[#This Row],[Столбец17]]</f>
        <v>5075515.6999999993</v>
      </c>
      <c r="F105" s="36">
        <f>Таблица44672342[[#This Row],[Столбец9]]+Таблица44672342[[#This Row],[Столбец12]]+Таблица44672342[[#This Row],[Столбец15]]+Таблица44672342[[#This Row],[Столбец18]]</f>
        <v>3368241.7800000007</v>
      </c>
      <c r="G105" s="36">
        <f>Таблица44672342[[#This Row],[Столбец6]]/Таблица44672342[[#This Row],[Столбец5]]*100</f>
        <v>66.362552676174388</v>
      </c>
      <c r="H105" s="40">
        <f>SUM(H106:H121)</f>
        <v>4620516.1899999995</v>
      </c>
      <c r="I105" s="40">
        <f>SUM(I106:I121)</f>
        <v>3211621.8600000008</v>
      </c>
      <c r="J105" s="40">
        <f>Таблица44672342[[#This Row],[Столбец9]]/Таблица44672342[[#This Row],[Столбец8]]*100</f>
        <v>69.507858601400144</v>
      </c>
      <c r="K105" s="40">
        <f>SUM(K107:K121)</f>
        <v>454999.51</v>
      </c>
      <c r="L105" s="40">
        <f>SUM(L106:L121)</f>
        <v>156619.91999999998</v>
      </c>
      <c r="M105" s="40">
        <f>Таблица44672342[[#This Row],[Столбец12]]/Таблица44672342[[#This Row],[Столбец11]]*100</f>
        <v>34.421997509403909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20"/>
      <c r="U105" s="75"/>
      <c r="V105" s="91"/>
    </row>
    <row r="106" spans="1:22" ht="43.15" customHeight="1" x14ac:dyDescent="0.25">
      <c r="A106" s="61" t="s">
        <v>158</v>
      </c>
      <c r="B106" s="53" t="s">
        <v>148</v>
      </c>
      <c r="C106" s="54"/>
      <c r="D106" s="54"/>
      <c r="E106" s="30">
        <f>Таблица44672342[[#This Row],[Столбец8]]+Таблица44672342[[#This Row],[Столбец11]]+Таблица44672342[[#This Row],[Столбец14]]+Таблица44672342[[#This Row],[Столбец17]]</f>
        <v>458795.3</v>
      </c>
      <c r="F106" s="30">
        <f>Таблица44672342[[#This Row],[Столбец9]]+Таблица44672342[[#This Row],[Столбец12]]+Таблица44672342[[#This Row],[Столбец15]]+Таблица44672342[[#This Row],[Столбец18]]</f>
        <v>551235.96</v>
      </c>
      <c r="G106" s="25">
        <f>Таблица44672342[[#This Row],[Столбец6]]/Таблица44672342[[#This Row],[Столбец5]]*100</f>
        <v>120.14856298658682</v>
      </c>
      <c r="H106" s="25">
        <v>458795.3</v>
      </c>
      <c r="I106" s="25">
        <v>551235.96</v>
      </c>
      <c r="J106" s="25">
        <f>Таблица44672342[[#This Row],[Столбец9]]/Таблица44672342[[#This Row],[Столбец8]]*100</f>
        <v>120.14856298658682</v>
      </c>
      <c r="K106" s="25">
        <v>0</v>
      </c>
      <c r="L106" s="25">
        <v>0</v>
      </c>
      <c r="M106" s="26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0" t="s">
        <v>264</v>
      </c>
      <c r="U106" s="75"/>
      <c r="V106" s="91"/>
    </row>
    <row r="107" spans="1:22" ht="38.450000000000003" customHeight="1" x14ac:dyDescent="0.25">
      <c r="A107" s="61" t="s">
        <v>159</v>
      </c>
      <c r="B107" s="53" t="s">
        <v>149</v>
      </c>
      <c r="C107" s="54"/>
      <c r="D107" s="54"/>
      <c r="E107" s="30">
        <f>Таблица44672342[[#This Row],[Столбец8]]+Таблица44672342[[#This Row],[Столбец11]]+Таблица44672342[[#This Row],[Столбец14]]+Таблица44672342[[#This Row],[Столбец17]]</f>
        <v>1048740.8</v>
      </c>
      <c r="F107" s="30">
        <f>Таблица44672342[[#This Row],[Столбец9]]+Таблица44672342[[#This Row],[Столбец12]]</f>
        <v>1087692.6500000001</v>
      </c>
      <c r="G107" s="25">
        <f>Таблица44672342[[#This Row],[Столбец6]]/Таблица44672342[[#This Row],[Столбец5]]*100</f>
        <v>103.71415415515446</v>
      </c>
      <c r="H107" s="25">
        <v>997453.3</v>
      </c>
      <c r="I107" s="25">
        <v>1057030.55</v>
      </c>
      <c r="J107" s="25">
        <f>Таблица44672342[[#This Row],[Столбец9]]/Таблица44672342[[#This Row],[Столбец8]]*100</f>
        <v>105.97293627681617</v>
      </c>
      <c r="K107" s="25">
        <v>51287.5</v>
      </c>
      <c r="L107" s="25">
        <v>30662.1</v>
      </c>
      <c r="M107" s="26">
        <f>Таблица44672342[[#This Row],[Столбец12]]/Таблица44672342[[#This Row],[Столбец11]]*100</f>
        <v>59.784742871069952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0"/>
      <c r="U107" s="75"/>
      <c r="V107" s="91"/>
    </row>
    <row r="108" spans="1:22" s="7" customFormat="1" ht="36" customHeight="1" x14ac:dyDescent="0.25">
      <c r="A108" s="61" t="s">
        <v>160</v>
      </c>
      <c r="B108" s="53" t="s">
        <v>150</v>
      </c>
      <c r="C108" s="54"/>
      <c r="D108" s="54"/>
      <c r="E108" s="30">
        <f>Таблица44672342[[#This Row],[Столбец8]]+Таблица44672342[[#This Row],[Столбец11]]</f>
        <v>175958.51</v>
      </c>
      <c r="F108" s="30">
        <f>Таблица44672342[[#This Row],[Столбец9]]+Таблица44672342[[#This Row],[Столбец12]]</f>
        <v>172475.40000000002</v>
      </c>
      <c r="G108" s="25">
        <f>Таблица44672342[[#This Row],[Столбец6]]/Таблица44672342[[#This Row],[Столбец5]]*100</f>
        <v>98.020493581128875</v>
      </c>
      <c r="H108" s="25">
        <v>174337</v>
      </c>
      <c r="I108" s="25">
        <v>170853.89</v>
      </c>
      <c r="J108" s="25">
        <f>Таблица44672342[[#This Row],[Столбец9]]/Таблица44672342[[#This Row],[Столбец8]]*100</f>
        <v>98.002082174179904</v>
      </c>
      <c r="K108" s="25">
        <v>1621.51</v>
      </c>
      <c r="L108" s="25">
        <v>1621.51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0"/>
      <c r="U108" s="75"/>
      <c r="V108" s="92"/>
    </row>
    <row r="109" spans="1:22" ht="51" customHeight="1" x14ac:dyDescent="0.25">
      <c r="A109" s="61" t="s">
        <v>161</v>
      </c>
      <c r="B109" s="53" t="s">
        <v>151</v>
      </c>
      <c r="C109" s="54"/>
      <c r="D109" s="54"/>
      <c r="E109" s="30">
        <f>Таблица44672342[[#This Row],[Столбец8]]+Таблица44672342[[#This Row],[Столбец11]]+Таблица44672342[[#This Row],[Столбец14]]+Таблица44672342[[#This Row],[Столбец17]]</f>
        <v>521424.9</v>
      </c>
      <c r="F109" s="30">
        <f>Таблица44672342[[#This Row],[Столбец9]]+Таблица44672342[[#This Row],[Столбец12]]</f>
        <v>564935.1</v>
      </c>
      <c r="G109" s="25">
        <f>Таблица44672342[[#This Row],[Столбец6]]/Таблица44672342[[#This Row],[Столбец5]]*100</f>
        <v>108.34448067209679</v>
      </c>
      <c r="H109" s="25">
        <v>521424.9</v>
      </c>
      <c r="I109" s="25">
        <v>564935.1</v>
      </c>
      <c r="J109" s="25">
        <f>Таблица44672342[[#This Row],[Столбец9]]/Таблица44672342[[#This Row],[Столбец8]]*100</f>
        <v>108.34448067209679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0"/>
      <c r="U109" s="75"/>
      <c r="V109" s="91"/>
    </row>
    <row r="110" spans="1:22" ht="55.9" customHeight="1" x14ac:dyDescent="0.25">
      <c r="A110" s="61" t="s">
        <v>162</v>
      </c>
      <c r="B110" s="53" t="s">
        <v>152</v>
      </c>
      <c r="C110" s="54"/>
      <c r="D110" s="54"/>
      <c r="E110" s="30">
        <v>46242.8</v>
      </c>
      <c r="F110" s="30">
        <f>Таблица44672342[[#This Row],[Столбец9]]</f>
        <v>39672.800000000003</v>
      </c>
      <c r="G110" s="25">
        <f>Таблица44672342[[#This Row],[Столбец6]]/Таблица44672342[[#This Row],[Столбец5]]*100</f>
        <v>85.792382814189452</v>
      </c>
      <c r="H110" s="25">
        <v>52531.5</v>
      </c>
      <c r="I110" s="25">
        <v>39672.800000000003</v>
      </c>
      <c r="J110" s="25">
        <f>Таблица44672342[[#This Row],[Столбец9]]/Таблица44672342[[#This Row],[Столбец8]]*100</f>
        <v>75.521924940273934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0"/>
      <c r="U110" s="75"/>
      <c r="V110" s="91"/>
    </row>
    <row r="111" spans="1:22" ht="58.9" customHeight="1" x14ac:dyDescent="0.25">
      <c r="A111" s="61" t="s">
        <v>163</v>
      </c>
      <c r="B111" s="53" t="s">
        <v>230</v>
      </c>
      <c r="C111" s="54"/>
      <c r="D111" s="54"/>
      <c r="E111" s="30">
        <f>Таблица44672342[[#This Row],[Столбец8]]+Таблица44672342[[#This Row],[Столбец11]]+Таблица44672342[[#This Row],[Столбец14]]+Таблица44672342[[#This Row],[Столбец17]]</f>
        <v>1505.3</v>
      </c>
      <c r="F111" s="30">
        <f>Таблица44672342[[#This Row],[Столбец9]]</f>
        <v>2430.6999999999998</v>
      </c>
      <c r="G111" s="25">
        <f>Таблица44672342[[#This Row],[Столбец6]]/Таблица44672342[[#This Row],[Столбец5]]*100</f>
        <v>161.47611771739852</v>
      </c>
      <c r="H111" s="25">
        <v>1505.3</v>
      </c>
      <c r="I111" s="25">
        <v>2430.6999999999998</v>
      </c>
      <c r="J111" s="25">
        <f>Таблица44672342[[#This Row],[Столбец9]]/Таблица44672342[[#This Row],[Столбец8]]*100</f>
        <v>161.47611771739852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0"/>
      <c r="U111" s="75"/>
      <c r="V111" s="91"/>
    </row>
    <row r="112" spans="1:22" ht="110.25" x14ac:dyDescent="0.25">
      <c r="A112" s="61" t="s">
        <v>164</v>
      </c>
      <c r="B112" s="53" t="s">
        <v>153</v>
      </c>
      <c r="C112" s="54"/>
      <c r="D112" s="54"/>
      <c r="E112" s="30">
        <f>Таблица44672342[[#This Row],[Столбец8]]+Таблица44672342[[#This Row],[Столбец11]]+Таблица44672342[[#This Row],[Столбец14]]+Таблица44672342[[#This Row],[Столбец17]]</f>
        <v>46716.700000000004</v>
      </c>
      <c r="F112" s="30">
        <f>Таблица44672342[[#This Row],[Столбец9]]+Таблица44672342[[#This Row],[Столбец12]]</f>
        <v>47572.37</v>
      </c>
      <c r="G112" s="25">
        <f>Таблица44672342[[#This Row],[Столбец6]]/Таблица44672342[[#This Row],[Столбец5]]*100</f>
        <v>101.83161481868368</v>
      </c>
      <c r="H112" s="25">
        <v>39916.300000000003</v>
      </c>
      <c r="I112" s="25">
        <v>40771.97</v>
      </c>
      <c r="J112" s="25">
        <f>Таблица44672342[[#This Row],[Столбец9]]/Таблица44672342[[#This Row],[Столбец8]]*100</f>
        <v>102.14366060982604</v>
      </c>
      <c r="K112" s="25">
        <v>6800.4</v>
      </c>
      <c r="L112" s="25">
        <v>6800.4</v>
      </c>
      <c r="M112" s="25">
        <f>Таблица44672342[[#This Row],[Столбец12]]/Таблица44672342[[#This Row],[Столбец11]]*100</f>
        <v>100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1"/>
      <c r="U112" s="75"/>
      <c r="V112" s="91"/>
    </row>
    <row r="113" spans="1:22" ht="65.45" customHeight="1" x14ac:dyDescent="0.25">
      <c r="A113" s="61" t="s">
        <v>229</v>
      </c>
      <c r="B113" s="53" t="s">
        <v>80</v>
      </c>
      <c r="C113" s="54"/>
      <c r="D113" s="54"/>
      <c r="E113" s="30">
        <f>Таблица44672342[[#This Row],[Столбец8]]+Таблица44672342[[#This Row],[Столбец11]]+Таблица44672342[[#This Row],[Столбец14]]+Таблица44672342[[#This Row],[Столбец17]]</f>
        <v>4100.5</v>
      </c>
      <c r="F113" s="30">
        <f>Таблица44672342[[#This Row],[Столбец9]]+Таблица44672342[[#This Row],[Столбец12]]</f>
        <v>12632.5</v>
      </c>
      <c r="G113" s="25">
        <f>Таблица44672342[[#This Row],[Столбец6]]/Таблица44672342[[#This Row],[Столбец5]]*100</f>
        <v>308.07218631874161</v>
      </c>
      <c r="H113" s="25">
        <v>4100.5</v>
      </c>
      <c r="I113" s="25">
        <v>12632.5</v>
      </c>
      <c r="J113" s="25">
        <f>Таблица44672342[[#This Row],[Столбец9]]/Таблица44672342[[#This Row],[Столбец8]]*100</f>
        <v>308.07218631874161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2"/>
      <c r="U113" s="75"/>
      <c r="V113" s="91"/>
    </row>
    <row r="114" spans="1:22" ht="81" customHeight="1" x14ac:dyDescent="0.25">
      <c r="A114" s="61" t="s">
        <v>165</v>
      </c>
      <c r="B114" s="53" t="s">
        <v>154</v>
      </c>
      <c r="C114" s="54"/>
      <c r="D114" s="54"/>
      <c r="E114" s="30">
        <f>Таблица44672342[[#This Row],[Столбец8]]+Таблица44672342[[#This Row],[Столбец11]]+Таблица44672342[[#This Row],[Столбец14]]+Таблица44672342[[#This Row],[Столбец17]]</f>
        <v>817986.3</v>
      </c>
      <c r="F114" s="30">
        <f>Таблица44672342[[#This Row],[Столбец9]]+Таблица44672342[[#This Row],[Столбец12]]</f>
        <v>249907.46000000002</v>
      </c>
      <c r="G114" s="25">
        <f>Таблица44672342[[#This Row],[Столбец6]]/Таблица44672342[[#This Row],[Столбец5]]*100</f>
        <v>30.551545912199263</v>
      </c>
      <c r="H114" s="25">
        <v>425986.3</v>
      </c>
      <c r="I114" s="25">
        <v>134436.29</v>
      </c>
      <c r="J114" s="25">
        <f>Таблица44672342[[#This Row],[Столбец9]]/Таблица44672342[[#This Row],[Столбец8]]*100</f>
        <v>31.558829474093418</v>
      </c>
      <c r="K114" s="25">
        <v>392000</v>
      </c>
      <c r="L114" s="25">
        <v>115471.17</v>
      </c>
      <c r="M114" s="25">
        <f>Таблица44672342[[#This Row],[Столбец12]]/Таблица44672342[[#This Row],[Столбец11]]*100</f>
        <v>29.456931122448982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0"/>
      <c r="U114" s="75"/>
      <c r="V114" s="91"/>
    </row>
    <row r="115" spans="1:22" ht="37.15" customHeight="1" x14ac:dyDescent="0.25">
      <c r="A115" s="61" t="s">
        <v>166</v>
      </c>
      <c r="B115" s="53" t="s">
        <v>255</v>
      </c>
      <c r="C115" s="54"/>
      <c r="D115" s="54"/>
      <c r="E115" s="30">
        <f>Таблица44672342[[#This Row],[Столбец8]]+Таблица44672342[[#This Row],[Столбец11]]+Таблица44672342[[#This Row],[Столбец14]]+Таблица44672342[[#This Row],[Столбец17]]</f>
        <v>10000</v>
      </c>
      <c r="F115" s="30">
        <f>Таблица44672342[[#This Row],[Столбец9]]+Таблица44672342[[#This Row],[Столбец12]]</f>
        <v>7500</v>
      </c>
      <c r="G115" s="25">
        <f>Таблица44672342[[#This Row],[Столбец6]]/Таблица44672342[[#This Row],[Столбец5]]*100</f>
        <v>75</v>
      </c>
      <c r="H115" s="25">
        <v>10000</v>
      </c>
      <c r="I115" s="25">
        <v>7500</v>
      </c>
      <c r="J115" s="25">
        <f>Таблица44672342[[#This Row],[Столбец9]]/Таблица44672342[[#This Row],[Столбец8]]*100</f>
        <v>75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0"/>
      <c r="U115" s="75"/>
      <c r="V115" s="91"/>
    </row>
    <row r="116" spans="1:22" ht="53.45" customHeight="1" x14ac:dyDescent="0.25">
      <c r="A116" s="61" t="s">
        <v>167</v>
      </c>
      <c r="B116" s="70" t="s">
        <v>207</v>
      </c>
      <c r="C116" s="54"/>
      <c r="D116" s="54"/>
      <c r="E116" s="30">
        <f>Таблица44672342[[#This Row],[Столбец8]]+Таблица44672342[[#This Row],[Столбец11]]+Таблица44672342[[#This Row],[Столбец14]]+Таблица44672342[[#This Row],[Столбец17]]</f>
        <v>52613.599999999999</v>
      </c>
      <c r="F116" s="30">
        <f>Таблица44672342[[#This Row],[Столбец9]]+Таблица44672342[[#This Row],[Столбец12]]</f>
        <v>34380.199999999997</v>
      </c>
      <c r="G116" s="25">
        <f>Таблица44672342[[#This Row],[Столбец6]]/Таблица44672342[[#This Row],[Столбец5]]*100</f>
        <v>65.344701750117835</v>
      </c>
      <c r="H116" s="25">
        <v>52613.599999999999</v>
      </c>
      <c r="I116" s="25">
        <v>34380.199999999997</v>
      </c>
      <c r="J116" s="25">
        <f>Таблица44672342[[#This Row],[Столбец9]]/Таблица44672342[[#This Row],[Столбец8]]*100</f>
        <v>65.344701750117835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0"/>
      <c r="U116" s="75"/>
      <c r="V116" s="91"/>
    </row>
    <row r="117" spans="1:22" ht="57.6" customHeight="1" x14ac:dyDescent="0.25">
      <c r="A117" s="61" t="s">
        <v>168</v>
      </c>
      <c r="B117" s="53" t="s">
        <v>155</v>
      </c>
      <c r="C117" s="54"/>
      <c r="D117" s="54"/>
      <c r="E117" s="30">
        <v>20166.8</v>
      </c>
      <c r="F117" s="30">
        <f>Таблица44672342[[#This Row],[Столбец9]]+Таблица44672342[[#This Row],[Столбец12]]</f>
        <v>11297.1</v>
      </c>
      <c r="G117" s="25">
        <f>Таблица44672342[[#This Row],[Столбец6]]/Таблица44672342[[#This Row],[Столбец5]]*100</f>
        <v>56.018307316976426</v>
      </c>
      <c r="H117" s="25">
        <v>34221.9</v>
      </c>
      <c r="I117" s="25">
        <v>11297.1</v>
      </c>
      <c r="J117" s="25">
        <f>Таблица44672342[[#This Row],[Столбец9]]/Таблица44672342[[#This Row],[Столбец8]]*100</f>
        <v>33.011317314351338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0"/>
      <c r="U117" s="75"/>
      <c r="V117" s="91"/>
    </row>
    <row r="118" spans="1:22" ht="40.15" customHeight="1" x14ac:dyDescent="0.25">
      <c r="A118" s="61" t="s">
        <v>169</v>
      </c>
      <c r="B118" s="53" t="s">
        <v>156</v>
      </c>
      <c r="C118" s="54"/>
      <c r="D118" s="54"/>
      <c r="E118" s="30">
        <f>Таблица44672342[[#This Row],[Столбец8]]+Таблица44672342[[#This Row],[Столбец11]]+Таблица44672342[[#This Row],[Столбец14]]+Таблица44672342[[#This Row],[Столбец17]]</f>
        <v>19933.2</v>
      </c>
      <c r="F118" s="30">
        <f>Таблица44672342[[#This Row],[Столбец9]]+Таблица44672342[[#This Row],[Столбец12]]</f>
        <v>7000.2</v>
      </c>
      <c r="G118" s="25">
        <f>Таблица44672342[[#This Row],[Столбец6]]/Таблица44672342[[#This Row],[Столбец5]]*100</f>
        <v>35.118295105652884</v>
      </c>
      <c r="H118" s="25">
        <v>19933.2</v>
      </c>
      <c r="I118" s="25">
        <v>7000.2</v>
      </c>
      <c r="J118" s="25">
        <f>Таблица44672342[[#This Row],[Столбец9]]/Таблица44672342[[#This Row],[Столбец8]]*100</f>
        <v>35.118295105652884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0"/>
      <c r="U118" s="75"/>
      <c r="V118" s="91"/>
    </row>
    <row r="119" spans="1:22" ht="65.25" customHeight="1" x14ac:dyDescent="0.25">
      <c r="A119" s="61" t="s">
        <v>170</v>
      </c>
      <c r="B119" s="53" t="s">
        <v>157</v>
      </c>
      <c r="C119" s="54"/>
      <c r="D119" s="54"/>
      <c r="E119" s="30">
        <v>395461.2</v>
      </c>
      <c r="F119" s="30">
        <f>Таблица44672342[[#This Row],[Столбец9]]+Таблица44672342[[#This Row],[Столбец12]]</f>
        <v>574984.65</v>
      </c>
      <c r="G119" s="25">
        <f>Таблица44672342[[#This Row],[Столбец6]]/Таблица44672342[[#This Row],[Столбец5]]*100</f>
        <v>145.39597057815027</v>
      </c>
      <c r="H119" s="25">
        <v>148120</v>
      </c>
      <c r="I119" s="25">
        <v>572919.91</v>
      </c>
      <c r="J119" s="25">
        <f>Таблица44672342[[#This Row],[Столбец9]]/Таблица44672342[[#This Row],[Столбец8]]*100</f>
        <v>386.79443019173647</v>
      </c>
      <c r="K119" s="25">
        <v>3290.1</v>
      </c>
      <c r="L119" s="25">
        <v>2064.7399999999998</v>
      </c>
      <c r="M119" s="25">
        <f>Таблица44672342[[#This Row],[Столбец12]]/Таблица44672342[[#This Row],[Столбец11]]*100</f>
        <v>62.756147229567482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0"/>
      <c r="U119" s="75"/>
      <c r="V119" s="91"/>
    </row>
    <row r="120" spans="1:22" ht="90.6" customHeight="1" x14ac:dyDescent="0.25">
      <c r="A120" s="61" t="s">
        <v>297</v>
      </c>
      <c r="B120" s="57" t="s">
        <v>299</v>
      </c>
      <c r="C120" s="54"/>
      <c r="D120" s="54"/>
      <c r="E120" s="30">
        <f>Таблица44672342[[#This Row],[Столбец8]]+Таблица44672342[[#This Row],[Столбец11]]+Таблица44672342[[#This Row],[Столбец14]]+Таблица44672342[[#This Row],[Столбец17]]</f>
        <v>1675140.09</v>
      </c>
      <c r="F120" s="30">
        <f>Таблица44672342[[#This Row],[Столбец9]]+Таблица44672342[[#This Row],[Столбец12]]</f>
        <v>2324.69</v>
      </c>
      <c r="G120" s="25">
        <f>Таблица44672342[[#This Row],[Столбец6]]/Таблица44672342[[#This Row],[Столбец5]]*100</f>
        <v>0.13877585605392562</v>
      </c>
      <c r="H120" s="25">
        <v>1675140.09</v>
      </c>
      <c r="I120" s="25">
        <v>2324.69</v>
      </c>
      <c r="J120" s="25">
        <f>Таблица44672342[[#This Row],[Столбец9]]/Таблица44672342[[#This Row],[Столбец8]]*100</f>
        <v>0.13877585605392562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0"/>
      <c r="U120" s="75"/>
      <c r="V120" s="91"/>
    </row>
    <row r="121" spans="1:22" ht="43.15" customHeight="1" x14ac:dyDescent="0.25">
      <c r="A121" s="61" t="s">
        <v>298</v>
      </c>
      <c r="B121" s="29" t="s">
        <v>254</v>
      </c>
      <c r="C121" s="27"/>
      <c r="D121" s="27"/>
      <c r="E121" s="30">
        <f>Таблица44672342[[#This Row],[Столбец8]]+Таблица44672342[[#This Row],[Столбец11]]+Таблица44672342[[#This Row],[Столбец14]]+Таблица44672342[[#This Row],[Столбец17]]</f>
        <v>4437</v>
      </c>
      <c r="F121" s="30">
        <f>Таблица44672342[[#This Row],[Столбец9]]+Таблица44672342[[#This Row],[Столбец12]]</f>
        <v>2200</v>
      </c>
      <c r="G121" s="25">
        <f>Таблица44672342[[#This Row],[Столбец6]]/Таблица44672342[[#This Row],[Столбец5]]*100</f>
        <v>49.583051611449172</v>
      </c>
      <c r="H121" s="26">
        <v>4437</v>
      </c>
      <c r="I121" s="26">
        <v>2200</v>
      </c>
      <c r="J121" s="25">
        <f>Таблица44672342[[#This Row],[Столбец9]]/Таблица44672342[[#This Row],[Столбец8]]*100</f>
        <v>49.583051611449172</v>
      </c>
      <c r="K121" s="26">
        <v>0</v>
      </c>
      <c r="L121" s="26">
        <v>0</v>
      </c>
      <c r="M121" s="25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0"/>
      <c r="U121" s="75"/>
      <c r="V121" s="91"/>
    </row>
    <row r="122" spans="1:22" ht="67.150000000000006" customHeight="1" x14ac:dyDescent="0.25">
      <c r="A122" s="38">
        <v>21</v>
      </c>
      <c r="B122" s="39" t="s">
        <v>349</v>
      </c>
      <c r="C122" s="35" t="s">
        <v>49</v>
      </c>
      <c r="D122" s="35" t="s">
        <v>223</v>
      </c>
      <c r="E122" s="36">
        <f>Таблица44672342[[#This Row],[Столбец8]]+Таблица44672342[[#This Row],[Столбец11]]+Таблица44672342[[#This Row],[Столбец14]]+Таблица44672342[[#This Row],[Столбец17]]</f>
        <v>938360</v>
      </c>
      <c r="F122" s="40">
        <f>Таблица44672342[[#This Row],[Столбец9]]+Таблица44672342[[#This Row],[Столбец12]]</f>
        <v>1201612.2</v>
      </c>
      <c r="G122" s="40">
        <f>Таблица44672342[[#This Row],[Столбец6]]/Таблица44672342[[#This Row],[Столбец5]]*100</f>
        <v>128.05449933927278</v>
      </c>
      <c r="H122" s="40">
        <v>938360</v>
      </c>
      <c r="I122" s="40">
        <v>1201612.2</v>
      </c>
      <c r="J122" s="40">
        <f>Таблица44672342[[#This Row],[Столбец9]]/Таблица44672342[[#This Row],[Столбец8]]*100</f>
        <v>128.05449933927278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23" t="s">
        <v>261</v>
      </c>
      <c r="U122" s="75"/>
      <c r="V122" s="91"/>
    </row>
    <row r="123" spans="1:22" s="6" customFormat="1" ht="71.25" customHeight="1" x14ac:dyDescent="0.25">
      <c r="A123" s="38">
        <v>22</v>
      </c>
      <c r="B123" s="39" t="s">
        <v>355</v>
      </c>
      <c r="C123" s="50" t="s">
        <v>50</v>
      </c>
      <c r="D123" s="50" t="s">
        <v>186</v>
      </c>
      <c r="E123" s="36">
        <f>Таблица44672342[[#This Row],[Столбец8]]+Таблица44672342[[#This Row],[Столбец11]]+Таблица44672342[[#This Row],[Столбец14]]+Таблица44672342[[#This Row],[Столбец17]]</f>
        <v>9331228</v>
      </c>
      <c r="F123" s="40">
        <f>Таблица44672342[[#This Row],[Столбец9]]+Таблица44672342[[#This Row],[Столбец12]]+Таблица44672342[[#This Row],[Столбец15]]+Таблица44672342[[#This Row],[Столбец18]]</f>
        <v>9003532.6999999993</v>
      </c>
      <c r="G123" s="40">
        <f>Таблица44672342[[#This Row],[Столбец6]]/Таблица44672342[[#This Row],[Столбец5]]*100</f>
        <v>96.488186763842862</v>
      </c>
      <c r="H123" s="40">
        <f>H124+H125+H126+H127+H128+H129+H130+H131+H132</f>
        <v>8777815.8000000007</v>
      </c>
      <c r="I123" s="40">
        <f>I124+I125+I126+I127+I128+I129+I130+I131+I132</f>
        <v>8450120.5</v>
      </c>
      <c r="J123" s="51">
        <f>Таблица44672342[[#This Row],[Столбец9]]/Таблица44672342[[#This Row],[Столбец8]]*100</f>
        <v>96.266778576055316</v>
      </c>
      <c r="K123" s="51">
        <f>K124+K125+K126+K127+K128+K129+K130+K131+K132</f>
        <v>553412.20000000007</v>
      </c>
      <c r="L123" s="51">
        <f>L124+L125+L126+L127+L128+L129+L130+L131+L132</f>
        <v>553412.20000000007</v>
      </c>
      <c r="M123" s="51">
        <f>Таблица44672342[[#This Row],[Столбец12]]/Таблица44672342[[#This Row],[Столбец11]]*100</f>
        <v>100</v>
      </c>
      <c r="N123" s="51">
        <f t="shared" ref="N123" si="4">N124+N125+N126+N127+N128+N129+N130+N131</f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20" t="s">
        <v>277</v>
      </c>
      <c r="U123" s="75"/>
      <c r="V123" s="92"/>
    </row>
    <row r="124" spans="1:22" ht="46.15" customHeight="1" x14ac:dyDescent="0.25">
      <c r="A124" s="61" t="s">
        <v>171</v>
      </c>
      <c r="B124" s="53" t="s">
        <v>356</v>
      </c>
      <c r="C124" s="54"/>
      <c r="D124" s="69"/>
      <c r="E124" s="30">
        <f>Таблица44672342[[#This Row],[Столбец8]]+Таблица44672342[[#This Row],[Столбец11]]+Таблица44672342[[#This Row],[Столбец14]]+Таблица44672342[[#This Row],[Столбец17]]</f>
        <v>1930275.5</v>
      </c>
      <c r="F124" s="37">
        <f>Таблица44672342[[#This Row],[Столбец9]]+Таблица44672342[[#This Row],[Столбец12]]+Таблица44672342[[#This Row],[Столбец15]]+Таблица44672342[[#This Row],[Столбец18]]</f>
        <v>1847152.7</v>
      </c>
      <c r="G124" s="25">
        <f>Таблица44672342[[#This Row],[Столбец6]]/Таблица44672342[[#This Row],[Столбец5]]*100</f>
        <v>95.693733873739788</v>
      </c>
      <c r="H124" s="25">
        <v>1915817.3</v>
      </c>
      <c r="I124" s="25">
        <v>1832694.5</v>
      </c>
      <c r="J124" s="25">
        <f>Таблица44672342[[#This Row],[Столбец9]]/Таблица44672342[[#This Row],[Столбец8]]*100</f>
        <v>95.661235546834249</v>
      </c>
      <c r="K124" s="25">
        <v>14458.2</v>
      </c>
      <c r="L124" s="25">
        <v>14458.2</v>
      </c>
      <c r="M124" s="25">
        <f>Таблица44672342[[#This Row],[Столбец12]]/Таблица44672342[[#This Row],[Столбец11]]*100</f>
        <v>100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0"/>
      <c r="U124" s="75"/>
      <c r="V124" s="91"/>
    </row>
    <row r="125" spans="1:22" ht="71.45" customHeight="1" x14ac:dyDescent="0.25">
      <c r="A125" s="61" t="s">
        <v>187</v>
      </c>
      <c r="B125" s="53" t="s">
        <v>357</v>
      </c>
      <c r="C125" s="54"/>
      <c r="D125" s="54"/>
      <c r="E125" s="30">
        <f>Таблица44672342[[#This Row],[Столбец8]]+Таблица44672342[[#This Row],[Столбец11]]+Таблица44672342[[#This Row],[Столбец14]]+Таблица44672342[[#This Row],[Столбец17]]</f>
        <v>1506125.4</v>
      </c>
      <c r="F125" s="37">
        <f>Таблица44672342[[#This Row],[Столбец9]]+Таблица44672342[[#This Row],[Столбец12]]+Таблица44672342[[#This Row],[Столбец15]]+Таблица44672342[[#This Row],[Столбец18]]</f>
        <v>1487984.62</v>
      </c>
      <c r="G125" s="25">
        <f>Таблица44672342[[#This Row],[Столбец6]]/Таблица44672342[[#This Row],[Столбец5]]*100</f>
        <v>98.795533227180172</v>
      </c>
      <c r="H125" s="25">
        <v>1506125.4</v>
      </c>
      <c r="I125" s="25">
        <v>1487984.62</v>
      </c>
      <c r="J125" s="25">
        <f>Таблица44672342[[#This Row],[Столбец9]]/Таблица44672342[[#This Row],[Столбец8]]*100</f>
        <v>98.795533227180172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0"/>
      <c r="U125" s="75"/>
      <c r="V125" s="91"/>
    </row>
    <row r="126" spans="1:22" ht="50.45" customHeight="1" x14ac:dyDescent="0.25">
      <c r="A126" s="61" t="s">
        <v>172</v>
      </c>
      <c r="B126" s="53" t="s">
        <v>358</v>
      </c>
      <c r="C126" s="54"/>
      <c r="D126" s="54"/>
      <c r="E126" s="30">
        <f>Таблица44672342[[#This Row],[Столбец8]]+Таблица44672342[[#This Row],[Столбец11]]+Таблица44672342[[#This Row],[Столбец14]]+Таблица44672342[[#This Row],[Столбец17]]</f>
        <v>4491.6000000000004</v>
      </c>
      <c r="F126" s="37">
        <f>Таблица44672342[[#This Row],[Столбец9]]+Таблица44672342[[#This Row],[Столбец12]]+Таблица44672342[[#This Row],[Столбец15]]+Таблица44672342[[#This Row],[Столбец18]]</f>
        <v>3144.1</v>
      </c>
      <c r="G126" s="25">
        <f>Таблица44672342[[#This Row],[Столбец6]]/Таблица44672342[[#This Row],[Столбец5]]*100</f>
        <v>69.999554724374377</v>
      </c>
      <c r="H126" s="25">
        <v>4491.6000000000004</v>
      </c>
      <c r="I126" s="25">
        <v>3144.1</v>
      </c>
      <c r="J126" s="25">
        <f>Таблица44672342[[#This Row],[Столбец9]]/Таблица44672342[[#This Row],[Столбец8]]*100</f>
        <v>69.999554724374377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0"/>
      <c r="U126" s="75"/>
      <c r="V126" s="91"/>
    </row>
    <row r="127" spans="1:22" ht="51" customHeight="1" x14ac:dyDescent="0.25">
      <c r="A127" s="61" t="s">
        <v>173</v>
      </c>
      <c r="B127" s="53" t="s">
        <v>359</v>
      </c>
      <c r="C127" s="54"/>
      <c r="D127" s="54"/>
      <c r="E127" s="30">
        <f>Таблица44672342[[#This Row],[Столбец8]]+Таблица44672342[[#This Row],[Столбец11]]+Таблица44672342[[#This Row],[Столбец14]]+Таблица44672342[[#This Row],[Столбец17]]</f>
        <v>817396.2</v>
      </c>
      <c r="F127" s="37">
        <f>Таблица44672342[[#This Row],[Столбец9]]+Таблица44672342[[#This Row],[Столбец12]]+Таблица44672342[[#This Row],[Столбец15]]+Таблица44672342[[#This Row],[Столбец18]]</f>
        <v>532820.84</v>
      </c>
      <c r="G127" s="25">
        <f>Таблица44672342[[#This Row],[Столбец6]]/Таблица44672342[[#This Row],[Столбец5]]*100</f>
        <v>65.185137880503973</v>
      </c>
      <c r="H127" s="25">
        <v>817396.2</v>
      </c>
      <c r="I127" s="25">
        <v>532820.84</v>
      </c>
      <c r="J127" s="25">
        <f>Таблица44672342[[#This Row],[Столбец9]]/Таблица44672342[[#This Row],[Столбец8]]*100</f>
        <v>65.185137880503973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0"/>
      <c r="U127" s="75"/>
      <c r="V127" s="91"/>
    </row>
    <row r="128" spans="1:22" ht="48" customHeight="1" x14ac:dyDescent="0.25">
      <c r="A128" s="61" t="s">
        <v>174</v>
      </c>
      <c r="B128" s="53" t="s">
        <v>309</v>
      </c>
      <c r="C128" s="54"/>
      <c r="D128" s="54"/>
      <c r="E128" s="30">
        <f>Таблица44672342[[#This Row],[Столбец8]]+Таблица44672342[[#This Row],[Столбец11]]+Таблица44672342[[#This Row],[Столбец14]]+Таблица44672342[[#This Row],[Столбец17]]</f>
        <v>15696.5</v>
      </c>
      <c r="F128" s="37">
        <f>Таблица44672342[[#This Row],[Столбец9]]+Таблица44672342[[#This Row],[Столбец12]]+Таблица44672342[[#This Row],[Столбец15]]+Таблица44672342[[#This Row],[Столбец18]]</f>
        <v>11756.97</v>
      </c>
      <c r="G128" s="25">
        <f>Таблица44672342[[#This Row],[Столбец6]]/Таблица44672342[[#This Row],[Столбец5]]*100</f>
        <v>74.901857101901697</v>
      </c>
      <c r="H128" s="25">
        <v>15696.5</v>
      </c>
      <c r="I128" s="25">
        <v>11756.97</v>
      </c>
      <c r="J128" s="25">
        <f>Таблица44672342[[#This Row],[Столбец9]]/Таблица44672342[[#This Row],[Столбец8]]*100</f>
        <v>74.901857101901697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0"/>
      <c r="U128" s="75"/>
      <c r="V128" s="91"/>
    </row>
    <row r="129" spans="1:32" ht="78.75" x14ac:dyDescent="0.25">
      <c r="A129" s="61" t="s">
        <v>175</v>
      </c>
      <c r="B129" s="53" t="s">
        <v>360</v>
      </c>
      <c r="C129" s="54"/>
      <c r="D129" s="54"/>
      <c r="E129" s="30">
        <v>36547</v>
      </c>
      <c r="F129" s="37">
        <f>Таблица44672342[[#This Row],[Столбец9]]+Таблица44672342[[#This Row],[Столбец12]]+Таблица44672342[[#This Row],[Столбец15]]+Таблица44672342[[#This Row],[Столбец18]]</f>
        <v>44700.27</v>
      </c>
      <c r="G129" s="25">
        <f>Таблица44672342[[#This Row],[Столбец6]]/Таблица44672342[[#This Row],[Столбец5]]*100</f>
        <v>122.30899937067336</v>
      </c>
      <c r="H129" s="25">
        <v>47299.4</v>
      </c>
      <c r="I129" s="25">
        <v>44700.27</v>
      </c>
      <c r="J129" s="25">
        <f>Таблица44672342[[#This Row],[Столбец9]]/Таблица44672342[[#This Row],[Столбец8]]*100</f>
        <v>94.504940866057481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0"/>
      <c r="U129" s="75"/>
      <c r="V129" s="91"/>
    </row>
    <row r="130" spans="1:32" ht="70.150000000000006" customHeight="1" x14ac:dyDescent="0.25">
      <c r="A130" s="64" t="s">
        <v>227</v>
      </c>
      <c r="B130" s="42" t="s">
        <v>256</v>
      </c>
      <c r="C130" s="44"/>
      <c r="D130" s="44"/>
      <c r="E130" s="30">
        <f>Таблица44672342[[#This Row],[Столбец8]]+Таблица44672342[[#This Row],[Столбец11]]+Таблица44672342[[#This Row],[Столбец14]]+Таблица44672342[[#This Row],[Столбец17]]</f>
        <v>8645</v>
      </c>
      <c r="F130" s="37">
        <f>Таблица44672342[[#This Row],[Столбец9]]+Таблица44672342[[#This Row],[Столбец12]]+Таблица44672342[[#This Row],[Столбец15]]+Таблица44672342[[#This Row],[Столбец18]]</f>
        <v>7315.9</v>
      </c>
      <c r="G130" s="25">
        <f>Таблица44672342[[#This Row],[Столбец6]]/Таблица44672342[[#This Row],[Столбец5]]*100</f>
        <v>84.625795257374207</v>
      </c>
      <c r="H130" s="37">
        <v>8645</v>
      </c>
      <c r="I130" s="37">
        <v>7315.9</v>
      </c>
      <c r="J130" s="25">
        <f>Таблица44672342[[#This Row],[Столбец9]]/Таблица44672342[[#This Row],[Столбец8]]*100</f>
        <v>84.625795257374207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20"/>
      <c r="U130" s="75"/>
      <c r="V130" s="91"/>
    </row>
    <row r="131" spans="1:32" ht="39" customHeight="1" x14ac:dyDescent="0.25">
      <c r="A131" s="64" t="s">
        <v>240</v>
      </c>
      <c r="B131" s="42" t="s">
        <v>283</v>
      </c>
      <c r="C131" s="44"/>
      <c r="D131" s="44"/>
      <c r="E131" s="30">
        <f>Таблица44672342[[#This Row],[Столбец8]]+Таблица44672342[[#This Row],[Столбец11]]+Таблица44672342[[#This Row],[Столбец14]]+Таблица44672342[[#This Row],[Столбец17]]</f>
        <v>3793050.5</v>
      </c>
      <c r="F131" s="37">
        <f>Таблица44672342[[#This Row],[Столбец9]]+Таблица44672342[[#This Row],[Столбец12]]+Таблица44672342[[#This Row],[Столбец15]]+Таблица44672342[[#This Row],[Столбец18]]</f>
        <v>3681606.8000000003</v>
      </c>
      <c r="G131" s="25">
        <f>Таблица44672342[[#This Row],[Столбец6]]/Таблица44672342[[#This Row],[Столбец5]]*100</f>
        <v>97.061897804946184</v>
      </c>
      <c r="H131" s="37">
        <v>3672344.4</v>
      </c>
      <c r="I131" s="37">
        <v>3660900.7</v>
      </c>
      <c r="J131" s="37">
        <f>Таблица44672342[[#This Row],[Столбец9]]/Таблица44672342[[#This Row],[Столбец8]]*100</f>
        <v>99.688381623466483</v>
      </c>
      <c r="K131" s="37">
        <v>20706.099999999999</v>
      </c>
      <c r="L131" s="37">
        <v>20706.099999999999</v>
      </c>
      <c r="M131" s="37">
        <f>Таблица44672342[[#This Row],[Столбец12]]/Таблица44672342[[#This Row],[Столбец11]]*100</f>
        <v>100</v>
      </c>
      <c r="N131" s="37">
        <v>0</v>
      </c>
      <c r="O131" s="37">
        <v>0</v>
      </c>
      <c r="P131" s="37">
        <v>0</v>
      </c>
      <c r="Q131" s="37">
        <v>100000</v>
      </c>
      <c r="R131" s="37">
        <v>0</v>
      </c>
      <c r="S131" s="37">
        <v>0</v>
      </c>
      <c r="T131" s="20"/>
      <c r="U131" s="75"/>
      <c r="V131" s="91"/>
    </row>
    <row r="132" spans="1:32" ht="42.6" customHeight="1" x14ac:dyDescent="0.25">
      <c r="A132" s="64" t="s">
        <v>241</v>
      </c>
      <c r="B132" s="42" t="s">
        <v>228</v>
      </c>
      <c r="C132" s="44"/>
      <c r="D132" s="44"/>
      <c r="E132" s="30">
        <f>Таблица44672342[[#This Row],[Столбец8]]+Таблица44672342[[#This Row],[Столбец11]]+Таблица44672342[[#This Row],[Столбец14]]+Таблица44672342[[#This Row],[Столбец17]]</f>
        <v>1308247.8999999999</v>
      </c>
      <c r="F132" s="37">
        <f>Таблица44672342[[#This Row],[Столбец9]]+Таблица44672342[[#This Row],[Столбец12]]+Таблица44672342[[#This Row],[Столбец15]]+Таблица44672342[[#This Row],[Столбец18]]</f>
        <v>1387050.5</v>
      </c>
      <c r="G132" s="25">
        <f>Таблица44672342[[#This Row],[Столбец6]]/Таблица44672342[[#This Row],[Столбец5]]*100</f>
        <v>106.02352199456999</v>
      </c>
      <c r="H132" s="37">
        <v>790000</v>
      </c>
      <c r="I132" s="37">
        <v>868802.6</v>
      </c>
      <c r="J132" s="37">
        <f>Таблица44672342[[#This Row],[Столбец9]]/Таблица44672342[[#This Row],[Столбец8]]*100</f>
        <v>109.97501265822784</v>
      </c>
      <c r="K132" s="37">
        <v>518247.9</v>
      </c>
      <c r="L132" s="37">
        <v>518247.9</v>
      </c>
      <c r="M132" s="37">
        <v>100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20"/>
      <c r="U132" s="75"/>
      <c r="V132" s="91"/>
    </row>
    <row r="133" spans="1:32" s="7" customFormat="1" ht="72.599999999999994" customHeight="1" x14ac:dyDescent="0.25">
      <c r="A133" s="38">
        <v>23</v>
      </c>
      <c r="B133" s="39" t="s">
        <v>307</v>
      </c>
      <c r="C133" s="50" t="s">
        <v>51</v>
      </c>
      <c r="D133" s="50" t="s">
        <v>24</v>
      </c>
      <c r="E133" s="36">
        <f>Таблица44672342[[#This Row],[Столбец8]]+Таблица44672342[[#This Row],[Столбец11]]+Таблица44672342[[#This Row],[Столбец14]]+Таблица44672342[[#This Row],[Столбец17]]</f>
        <v>44595699.199999996</v>
      </c>
      <c r="F133" s="51">
        <f>Таблица44672342[[#This Row],[Столбец9]]+Таблица44672342[[#This Row],[Столбец12]]+Таблица44672342[[#This Row],[Столбец15]]+Таблица44672342[[#This Row],[Столбец18]]</f>
        <v>32669166.260000002</v>
      </c>
      <c r="G133" s="51">
        <f>Таблица44672342[[#This Row],[Столбец6]]/Таблица44672342[[#This Row],[Столбец5]]*100</f>
        <v>73.256315846708389</v>
      </c>
      <c r="H133" s="51">
        <f>H134+H135+H136+H137+H138+H139+H140</f>
        <v>43634381.299999997</v>
      </c>
      <c r="I133" s="51">
        <f>I134+I135+I136+I137+I138+I139+I140</f>
        <v>27919634.460000001</v>
      </c>
      <c r="J133" s="51">
        <f>Таблица44672342[[#This Row],[Столбец9]]/Таблица44672342[[#This Row],[Столбец8]]*100</f>
        <v>63.985402401019044</v>
      </c>
      <c r="K133" s="51">
        <f t="shared" ref="K133:Q133" si="5">K134+K135+K136+K137+K138+K140+K139</f>
        <v>961317.89999999991</v>
      </c>
      <c r="L133" s="51">
        <f t="shared" si="5"/>
        <v>4749531.8</v>
      </c>
      <c r="M133" s="51">
        <f>Таблица44672342[[#This Row],[Столбец12]]/Таблица44672342[[#This Row],[Столбец11]]*100</f>
        <v>494.0646377228594</v>
      </c>
      <c r="N133" s="51">
        <f t="shared" si="5"/>
        <v>0</v>
      </c>
      <c r="O133" s="51">
        <v>0</v>
      </c>
      <c r="P133" s="51">
        <f t="shared" si="5"/>
        <v>0</v>
      </c>
      <c r="Q133" s="51">
        <f t="shared" si="5"/>
        <v>0</v>
      </c>
      <c r="R133" s="51">
        <v>0</v>
      </c>
      <c r="S133" s="51">
        <v>0</v>
      </c>
      <c r="T133" s="20" t="s">
        <v>282</v>
      </c>
      <c r="U133" s="75"/>
      <c r="V133" s="92"/>
    </row>
    <row r="134" spans="1:32" s="8" customFormat="1" ht="81" customHeight="1" x14ac:dyDescent="0.25">
      <c r="A134" s="61" t="s">
        <v>91</v>
      </c>
      <c r="B134" s="53" t="s">
        <v>214</v>
      </c>
      <c r="C134" s="54"/>
      <c r="D134" s="25">
        <f>H133+K133</f>
        <v>44595699.199999996</v>
      </c>
      <c r="E134" s="25">
        <f>SUM(Таблица44672342[[#This Row],[Столбец8]]+Таблица44672342[[#This Row],[Столбец11]]+Таблица44672342[[#This Row],[Столбец14]]+Таблица44672342[[#This Row],[Столбец17]])</f>
        <v>7450654.9000000004</v>
      </c>
      <c r="F134" s="25">
        <f>Таблица44672342[[#This Row],[Столбец9]]+Таблица44672342[[#This Row],[Столбец12]]+Таблица44672342[[#This Row],[Столбец15]]+Таблица44672342[[#This Row],[Столбец18]]</f>
        <v>2546955.4</v>
      </c>
      <c r="G134" s="25">
        <f>Таблица44672342[[#This Row],[Столбец6]]/Таблица44672342[[#This Row],[Столбец5]]*100</f>
        <v>34.184315797528072</v>
      </c>
      <c r="H134" s="25">
        <v>7450654.9000000004</v>
      </c>
      <c r="I134" s="25">
        <v>2546955.4</v>
      </c>
      <c r="J134" s="25">
        <f>Таблица44672342[[#This Row],[Столбец9]]/Таблица44672342[[#This Row],[Столбец8]]*100</f>
        <v>34.184315797528072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0"/>
      <c r="U134" s="75"/>
      <c r="V134" s="92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78.75" x14ac:dyDescent="0.25">
      <c r="A135" s="61" t="s">
        <v>92</v>
      </c>
      <c r="B135" s="53" t="s">
        <v>215</v>
      </c>
      <c r="C135" s="54"/>
      <c r="D135" s="54"/>
      <c r="E135" s="25">
        <f>SUM(Таблица44672342[[#This Row],[Столбец8]]+Таблица44672342[[#This Row],[Столбец11]]+Таблица44672342[[#This Row],[Столбец14]]+Таблица44672342[[#This Row],[Столбец17]])</f>
        <v>20541204.299999997</v>
      </c>
      <c r="F135" s="25">
        <f>Таблица44672342[[#This Row],[Столбец9]]+Таблица44672342[[#This Row],[Столбец12]]+Таблица44672342[[#This Row],[Столбец15]]+Таблица44672342[[#This Row],[Столбец18]]</f>
        <v>9384965.3399999999</v>
      </c>
      <c r="G135" s="25">
        <f>Таблица44672342[[#This Row],[Столбец6]]/Таблица44672342[[#This Row],[Столбец5]]*100</f>
        <v>45.688486434069503</v>
      </c>
      <c r="H135" s="25">
        <v>20527769.399999999</v>
      </c>
      <c r="I135" s="25">
        <v>9384965.3399999999</v>
      </c>
      <c r="J135" s="25">
        <f>Таблица44672342[[#This Row],[Столбец9]]/Таблица44672342[[#This Row],[Столбец8]]*100</f>
        <v>45.718388379791527</v>
      </c>
      <c r="K135" s="25">
        <v>13434.9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0"/>
      <c r="U135" s="75"/>
      <c r="V135" s="91"/>
    </row>
    <row r="136" spans="1:32" ht="92.25" customHeight="1" x14ac:dyDescent="0.25">
      <c r="A136" s="61" t="s">
        <v>93</v>
      </c>
      <c r="B136" s="53" t="s">
        <v>62</v>
      </c>
      <c r="C136" s="54"/>
      <c r="D136" s="54"/>
      <c r="E136" s="25">
        <f>SUM(Таблица44672342[[#This Row],[Столбец8]]+Таблица44672342[[#This Row],[Столбец11]]+Таблица44672342[[#This Row],[Столбец14]]+Таблица44672342[[#This Row],[Столбец17]])</f>
        <v>445778.6</v>
      </c>
      <c r="F136" s="25">
        <f>Таблица44672342[[#This Row],[Столбец9]]+Таблица44672342[[#This Row],[Столбец12]]+Таблица44672342[[#This Row],[Столбец15]]+Таблица44672342[[#This Row],[Столбец18]]</f>
        <v>400012.7</v>
      </c>
      <c r="G136" s="25">
        <f>Таблица44672342[[#This Row],[Столбец6]]/Таблица44672342[[#This Row],[Столбец5]]*100</f>
        <v>89.73349101998167</v>
      </c>
      <c r="H136" s="25">
        <v>444998.3</v>
      </c>
      <c r="I136" s="25">
        <v>400012.7</v>
      </c>
      <c r="J136" s="25">
        <f>Таблица44672342[[#This Row],[Столбец9]]/Таблица44672342[[#This Row],[Столбец8]]*100</f>
        <v>89.890837785223013</v>
      </c>
      <c r="K136" s="25">
        <v>780.3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0"/>
      <c r="U136" s="75"/>
      <c r="V136" s="91"/>
    </row>
    <row r="137" spans="1:32" ht="103.15" customHeight="1" x14ac:dyDescent="0.25">
      <c r="A137" s="61" t="s">
        <v>94</v>
      </c>
      <c r="B137" s="53" t="s">
        <v>216</v>
      </c>
      <c r="C137" s="54"/>
      <c r="D137" s="54"/>
      <c r="E137" s="25">
        <f>SUM(Таблица44672342[[#This Row],[Столбец8]]+Таблица44672342[[#This Row],[Столбец11]]+Таблица44672342[[#This Row],[Столбец14]]+Таблица44672342[[#This Row],[Столбец17]])</f>
        <v>6622823.6000000006</v>
      </c>
      <c r="F137" s="25">
        <f>Таблица44672342[[#This Row],[Столбец9]]+Таблица44672342[[#This Row],[Столбец12]]+Таблица44672342[[#This Row],[Столбец15]]+Таблица44672342[[#This Row],[Столбец18]]</f>
        <v>8718295.0999999996</v>
      </c>
      <c r="G137" s="25">
        <f>Таблица44672342[[#This Row],[Столбец6]]/Таблица44672342[[#This Row],[Столбец5]]*100</f>
        <v>131.64015269861633</v>
      </c>
      <c r="H137" s="25">
        <v>6033488.2000000002</v>
      </c>
      <c r="I137" s="25">
        <v>4810947.3</v>
      </c>
      <c r="J137" s="25">
        <f>Таблица44672342[[#This Row],[Столбец9]]/Таблица44672342[[#This Row],[Столбец8]]*100</f>
        <v>79.737411270647712</v>
      </c>
      <c r="K137" s="25">
        <v>589335.4</v>
      </c>
      <c r="L137" s="25">
        <v>3907347.8</v>
      </c>
      <c r="M137" s="25">
        <f>Таблица44672342[[#This Row],[Столбец12]]/Таблица44672342[[#This Row],[Столбец11]]*100</f>
        <v>663.00917949269626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0"/>
      <c r="U137" s="75"/>
      <c r="V137" s="91"/>
    </row>
    <row r="138" spans="1:32" ht="43.15" customHeight="1" x14ac:dyDescent="0.25">
      <c r="A138" s="61" t="s">
        <v>95</v>
      </c>
      <c r="B138" s="53" t="s">
        <v>217</v>
      </c>
      <c r="C138" s="54"/>
      <c r="D138" s="54"/>
      <c r="E138" s="25">
        <f>SUM(Таблица44672342[[#This Row],[Столбец8]]+Таблица44672342[[#This Row],[Столбец11]]+Таблица44672342[[#This Row],[Столбец14]]+Таблица44672342[[#This Row],[Столбец17]])</f>
        <v>137852.5</v>
      </c>
      <c r="F138" s="25">
        <f>Таблица44672342[[#This Row],[Столбец9]]+Таблица44672342[[#This Row],[Столбец12]]+Таблица44672342[[#This Row],[Столбец15]]+Таблица44672342[[#This Row],[Столбец18]]</f>
        <v>163353.29999999999</v>
      </c>
      <c r="G138" s="25">
        <f>Таблица44672342[[#This Row],[Столбец6]]/Таблица44672342[[#This Row],[Столбец5]]*100</f>
        <v>118.49861264757619</v>
      </c>
      <c r="H138" s="25">
        <v>124105.5</v>
      </c>
      <c r="I138" s="25">
        <v>163260.5</v>
      </c>
      <c r="J138" s="25">
        <f>Таблица44672342[[#This Row],[Столбец9]]/Таблица44672342[[#This Row],[Столбец8]]*100</f>
        <v>131.54977015523085</v>
      </c>
      <c r="K138" s="25">
        <v>13747</v>
      </c>
      <c r="L138" s="25">
        <v>92.8</v>
      </c>
      <c r="M138" s="25">
        <f>Таблица44672342[[#This Row],[Столбец12]]/Таблица44672342[[#This Row],[Столбец11]]*100</f>
        <v>0.67505637593656798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0"/>
      <c r="U138" s="75"/>
      <c r="V138" s="91"/>
    </row>
    <row r="139" spans="1:32" ht="52.9" customHeight="1" x14ac:dyDescent="0.25">
      <c r="A139" s="64" t="s">
        <v>96</v>
      </c>
      <c r="B139" s="42" t="s">
        <v>218</v>
      </c>
      <c r="C139" s="66"/>
      <c r="D139" s="66"/>
      <c r="E139" s="25">
        <f>SUM(Таблица44672342[[#This Row],[Столбец8]]+Таблица44672342[[#This Row],[Столбец11]]+Таблица44672342[[#This Row],[Столбец14]]+Таблица44672342[[#This Row],[Столбец17]])</f>
        <v>520223.7</v>
      </c>
      <c r="F139" s="25">
        <f>Таблица44672342[[#This Row],[Столбец9]]+Таблица44672342[[#This Row],[Столбец12]]+Таблица44672342[[#This Row],[Столбец15]]+Таблица44672342[[#This Row],[Столбец18]]</f>
        <v>156499.17000000001</v>
      </c>
      <c r="G139" s="37">
        <f>Таблица44672342[[#This Row],[Столбец6]]/Таблица44672342[[#This Row],[Столбец5]]*100</f>
        <v>30.083052732891641</v>
      </c>
      <c r="H139" s="37">
        <v>520223.7</v>
      </c>
      <c r="I139" s="37">
        <v>156499.17000000001</v>
      </c>
      <c r="J139" s="37">
        <f>Таблица44672342[[#This Row],[Столбец9]]/Таблица44672342[[#This Row],[Столбец8]]*100</f>
        <v>30.083052732891641</v>
      </c>
      <c r="K139" s="37">
        <v>0</v>
      </c>
      <c r="L139" s="43">
        <v>0</v>
      </c>
      <c r="M139" s="43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0"/>
      <c r="U139" s="75"/>
      <c r="V139" s="91"/>
    </row>
    <row r="140" spans="1:32" ht="57" customHeight="1" x14ac:dyDescent="0.25">
      <c r="A140" s="61" t="s">
        <v>225</v>
      </c>
      <c r="B140" s="53" t="s">
        <v>283</v>
      </c>
      <c r="C140" s="54"/>
      <c r="D140" s="54"/>
      <c r="E140" s="25">
        <f>SUM(Таблица44672342[[#This Row],[Столбец8]]+Таблица44672342[[#This Row],[Столбец11]]+Таблица44672342[[#This Row],[Столбец14]]+Таблица44672342[[#This Row],[Столбец17]])</f>
        <v>8877161.6000000015</v>
      </c>
      <c r="F140" s="25">
        <f>Таблица44672342[[#This Row],[Столбец9]]+Таблица44672342[[#This Row],[Столбец12]]+Таблица44672342[[#This Row],[Столбец15]]+Таблица44672342[[#This Row],[Столбец18]]</f>
        <v>11299085.25</v>
      </c>
      <c r="G140" s="37">
        <f>Таблица44672342[[#This Row],[Столбец6]]/Таблица44672342[[#This Row],[Столбец5]]*100</f>
        <v>127.28263558928563</v>
      </c>
      <c r="H140" s="25">
        <v>8533141.3000000007</v>
      </c>
      <c r="I140" s="25">
        <v>10456994.050000001</v>
      </c>
      <c r="J140" s="37">
        <f>Таблица44672342[[#This Row],[Столбец9]]/Таблица44672342[[#This Row],[Столбец8]]*100</f>
        <v>122.545656779409</v>
      </c>
      <c r="K140" s="25">
        <v>344020.3</v>
      </c>
      <c r="L140" s="25">
        <v>842091.2</v>
      </c>
      <c r="M140" s="37">
        <f>Таблица44672342[[#This Row],[Столбец12]]/Таблица44672342[[#This Row],[Столбец11]]*100</f>
        <v>244.77950865108829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0"/>
      <c r="U140" s="75"/>
      <c r="V140" s="91"/>
    </row>
    <row r="141" spans="1:32" ht="82.9" customHeight="1" x14ac:dyDescent="0.25">
      <c r="A141" s="38" t="s">
        <v>188</v>
      </c>
      <c r="B141" s="39" t="s">
        <v>353</v>
      </c>
      <c r="C141" s="50" t="s">
        <v>52</v>
      </c>
      <c r="D141" s="50" t="s">
        <v>242</v>
      </c>
      <c r="E141" s="36">
        <f>SUM(E142:E148)</f>
        <v>14277993.66</v>
      </c>
      <c r="F141" s="36">
        <f>SUM(F142:F148)</f>
        <v>14449919.689999999</v>
      </c>
      <c r="G141" s="51">
        <f>Таблица44672342[[#This Row],[Столбец6]]/Таблица44672342[[#This Row],[Столбец5]]*100</f>
        <v>101.20413297620136</v>
      </c>
      <c r="H141" s="51">
        <f>SUM(H142:H148)</f>
        <v>7250759.7999999998</v>
      </c>
      <c r="I141" s="51">
        <f>SUM(I142:I148)</f>
        <v>7146443.6410000008</v>
      </c>
      <c r="J141" s="51">
        <f>Таблица44672342[[#This Row],[Столбец9]]/Таблица44672342[[#This Row],[Столбец8]]*100</f>
        <v>98.561307202591379</v>
      </c>
      <c r="K141" s="51">
        <f>SUM(K142:K148)</f>
        <v>1754786.6600000001</v>
      </c>
      <c r="L141" s="51">
        <f>SUM(L142:L148)</f>
        <v>1991305.4</v>
      </c>
      <c r="M141" s="51">
        <f>Таблица44672342[[#This Row],[Столбец12]]/Таблица44672342[[#This Row],[Столбец11]]*100</f>
        <v>113.47848974416068</v>
      </c>
      <c r="N141" s="51">
        <f>SUM(N142:N148)</f>
        <v>1355557.4</v>
      </c>
      <c r="O141" s="51">
        <f>SUM(O142:O148)</f>
        <v>1355557.4</v>
      </c>
      <c r="P141" s="51">
        <f>Таблица44672342[[#This Row],[Столбец15]]/Таблица44672342[[#This Row],[Столбец14]]*100</f>
        <v>100</v>
      </c>
      <c r="Q141" s="51">
        <f>SUM(Q142:Q148)</f>
        <v>3916889.8</v>
      </c>
      <c r="R141" s="51">
        <f>SUM(R142:R148)</f>
        <v>3956613.2489999998</v>
      </c>
      <c r="S141" s="51">
        <f>Таблица44672342[[#This Row],[Столбец18]]/Таблица44672342[[#This Row],[Столбец17]]*100</f>
        <v>101.01415794235518</v>
      </c>
      <c r="T141" s="20" t="s">
        <v>280</v>
      </c>
      <c r="U141" s="75"/>
      <c r="V141" s="91"/>
    </row>
    <row r="142" spans="1:32" ht="54" customHeight="1" x14ac:dyDescent="0.25">
      <c r="A142" s="61" t="s">
        <v>121</v>
      </c>
      <c r="B142" s="53" t="s">
        <v>258</v>
      </c>
      <c r="C142" s="54"/>
      <c r="D142" s="54"/>
      <c r="E142" s="30">
        <f>SUM(Таблица44672342[[#This Row],[Столбец8]]+Таблица44672342[[#This Row],[Столбец11]]+Таблица44672342[[#This Row],[Столбец14]]+Таблица44672342[[#This Row],[Столбец17]])</f>
        <v>143703.70000000001</v>
      </c>
      <c r="F142" s="30">
        <f>SUM(Таблица44672342[[#This Row],[Столбец9]]+Таблица44672342[[#This Row],[Столбец12]]+Таблица44672342[[#This Row],[Столбец15]]+Таблица44672342[[#This Row],[Столбец18]])</f>
        <v>182651.46</v>
      </c>
      <c r="G142" s="25">
        <f>Таблица44672342[[#This Row],[Столбец6]]/Таблица44672342[[#This Row],[Столбец5]]*100</f>
        <v>127.10282337893872</v>
      </c>
      <c r="H142" s="30">
        <v>50000</v>
      </c>
      <c r="I142" s="30">
        <v>49224.311000000002</v>
      </c>
      <c r="J142" s="25">
        <f>Таблица44672342[[#This Row],[Столбец9]]/Таблица44672342[[#This Row],[Столбец8]]*100</f>
        <v>98.448622000000015</v>
      </c>
      <c r="K142" s="25">
        <v>14703.7</v>
      </c>
      <c r="L142" s="25">
        <v>14703.7</v>
      </c>
      <c r="M142" s="37">
        <f>(Таблица44672342[[#This Row],[Столбец12]]/Таблица44672342[[#This Row],[Столбец11]])*100</f>
        <v>100</v>
      </c>
      <c r="N142" s="25">
        <v>0</v>
      </c>
      <c r="O142" s="25">
        <v>0</v>
      </c>
      <c r="P142" s="25">
        <v>0</v>
      </c>
      <c r="Q142" s="25">
        <v>79000</v>
      </c>
      <c r="R142" s="25">
        <v>118723.44899999999</v>
      </c>
      <c r="S142" s="25">
        <f>Таблица44672342[[#This Row],[Столбец18]]/Таблица44672342[[#This Row],[Столбец17]]*100</f>
        <v>150.28284683544305</v>
      </c>
      <c r="T142" s="20"/>
      <c r="U142" s="75"/>
      <c r="V142" s="91"/>
    </row>
    <row r="143" spans="1:32" ht="108" customHeight="1" x14ac:dyDescent="0.25">
      <c r="A143" s="61" t="s">
        <v>303</v>
      </c>
      <c r="B143" s="53" t="s">
        <v>310</v>
      </c>
      <c r="C143" s="54"/>
      <c r="D143" s="54"/>
      <c r="E143" s="30">
        <f>SUM(Таблица44672342[[#This Row],[Столбец8]]+Таблица44672342[[#This Row],[Столбец11]]+Таблица44672342[[#This Row],[Столбец14]]+Таблица44672342[[#This Row],[Столбец17]])</f>
        <v>355286.2</v>
      </c>
      <c r="F143" s="25">
        <f>Таблица44672342[[#This Row],[Столбец9]]+Таблица44672342[[#This Row],[Столбец12]]+Таблица44672342[[#This Row],[Столбец15]]+Таблица44672342[[#This Row],[Столбец18]]</f>
        <v>355286.2</v>
      </c>
      <c r="G143" s="25">
        <f>Таблица44672342[[#This Row],[Столбец6]]/Таблица44672342[[#This Row],[Столбец5]]*100</f>
        <v>100</v>
      </c>
      <c r="H143" s="25">
        <v>314957.8</v>
      </c>
      <c r="I143" s="25">
        <v>314957.8</v>
      </c>
      <c r="J143" s="25">
        <f>Таблица44672342[[#This Row],[Столбец9]]/Таблица44672342[[#This Row],[Столбец8]]*100</f>
        <v>100</v>
      </c>
      <c r="K143" s="25">
        <v>40328.400000000001</v>
      </c>
      <c r="L143" s="25">
        <v>40328.400000000001</v>
      </c>
      <c r="M143" s="37">
        <f>(Таблица44672342[[#This Row],[Столбец12]]/Таблица44672342[[#This Row],[Столбец11]])*100</f>
        <v>100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0"/>
      <c r="U143" s="75"/>
      <c r="V143" s="91"/>
    </row>
    <row r="144" spans="1:32" ht="51.6" customHeight="1" x14ac:dyDescent="0.25">
      <c r="A144" s="61" t="s">
        <v>122</v>
      </c>
      <c r="B144" s="42" t="s">
        <v>260</v>
      </c>
      <c r="C144" s="54"/>
      <c r="D144" s="54"/>
      <c r="E144" s="30">
        <f>SUM(Таблица44672342[[#This Row],[Столбец8]]+Таблица44672342[[#This Row],[Столбец11]]+Таблица44672342[[#This Row],[Столбец14]]+Таблица44672342[[#This Row],[Столбец17]])</f>
        <v>1733178.9</v>
      </c>
      <c r="F144" s="25">
        <f>Таблица44672342[[#This Row],[Столбец9]]+Таблица44672342[[#This Row],[Столбец12]]+Таблица44672342[[#This Row],[Столбец15]]+Таблица44672342[[#This Row],[Столбец18]]</f>
        <v>1733178.9</v>
      </c>
      <c r="G144" s="25">
        <f>(Таблица44672342[[#This Row],[Столбец6]]/Таблица44672342[[#This Row],[Столбец5]])*100</f>
        <v>100</v>
      </c>
      <c r="H144" s="25">
        <v>519953.7</v>
      </c>
      <c r="I144" s="25">
        <v>519953.7</v>
      </c>
      <c r="J144" s="25">
        <f>(Таблица44672342[[#This Row],[Столбец9]]/Таблица44672342[[#This Row],[Столбец8]])*100</f>
        <v>100</v>
      </c>
      <c r="K144" s="25">
        <v>1213225.2</v>
      </c>
      <c r="L144" s="25">
        <v>1213225.2</v>
      </c>
      <c r="M144" s="37">
        <f>(Таблица44672342[[#This Row],[Столбец12]]/Таблица44672342[[#This Row],[Столбец11]])*100</f>
        <v>100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0"/>
      <c r="U144" s="75"/>
      <c r="V144" s="91"/>
    </row>
    <row r="145" spans="1:32" s="5" customFormat="1" ht="123" customHeight="1" x14ac:dyDescent="0.25">
      <c r="A145" s="61" t="s">
        <v>123</v>
      </c>
      <c r="B145" s="53" t="s">
        <v>81</v>
      </c>
      <c r="C145" s="54"/>
      <c r="D145" s="54"/>
      <c r="E145" s="30">
        <f>SUM(Таблица44672342[[#This Row],[Столбец8]]+Таблица44672342[[#This Row],[Столбец11]]+Таблица44672342[[#This Row],[Столбец14]]+Таблица44672342[[#This Row],[Столбец17]])</f>
        <v>5875585.0999999996</v>
      </c>
      <c r="F145" s="25">
        <f>Таблица44672342[[#This Row],[Столбец9]]+Таблица44672342[[#This Row],[Столбец12]]+Таблица44672342[[#This Row],[Столбец15]]+Таблица44672342[[#This Row],[Столбец18]]</f>
        <v>5757722.8999999994</v>
      </c>
      <c r="G145" s="25">
        <f>Таблица44672342[[#This Row],[Столбец6]]/Таблица44672342[[#This Row],[Столбец5]]*100</f>
        <v>97.994034670691775</v>
      </c>
      <c r="H145" s="25">
        <v>682137.9</v>
      </c>
      <c r="I145" s="25">
        <v>564275.69999999995</v>
      </c>
      <c r="J145" s="25">
        <f>Таблица44672342[[#This Row],[Столбец9]]/Таблица44672342[[#This Row],[Столбец8]]*100</f>
        <v>82.721646165679985</v>
      </c>
      <c r="K145" s="26">
        <v>0</v>
      </c>
      <c r="L145" s="26">
        <v>0</v>
      </c>
      <c r="M145" s="37">
        <v>0</v>
      </c>
      <c r="N145" s="25">
        <v>1355557.4</v>
      </c>
      <c r="O145" s="25">
        <v>1355557.4</v>
      </c>
      <c r="P145" s="25">
        <f>Таблица44672342[[#This Row],[Столбец15]]/Таблица44672342[[#This Row],[Столбец14]]*100</f>
        <v>100</v>
      </c>
      <c r="Q145" s="25">
        <v>3837889.8</v>
      </c>
      <c r="R145" s="25">
        <v>3837889.8</v>
      </c>
      <c r="S145" s="25">
        <f>Таблица44672342[[#This Row],[Столбец18]]/Таблица44672342[[#This Row],[Столбец17]]*100</f>
        <v>100</v>
      </c>
      <c r="T145" s="20"/>
      <c r="U145" s="75"/>
      <c r="V145" s="93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s="4" customFormat="1" ht="114" customHeight="1" x14ac:dyDescent="0.25">
      <c r="A146" s="61" t="s">
        <v>124</v>
      </c>
      <c r="B146" s="53" t="s">
        <v>82</v>
      </c>
      <c r="C146" s="54"/>
      <c r="D146" s="54"/>
      <c r="E146" s="30">
        <f>SUM(Таблица44672342[[#This Row],[Столбец8]]+Таблица44672342[[#This Row],[Столбец11]]+Таблица44672342[[#This Row],[Столбец14]]+Таблица44672342[[#This Row],[Столбец17]])</f>
        <v>429027</v>
      </c>
      <c r="F146" s="25">
        <f>SUM(Таблица44672342[[#This Row],[Столбец9]]+Таблица44672342[[#This Row],[Столбец12]]+Таблица44672342[[#This Row],[Столбец15]]+Таблица44672342[[#This Row],[Столбец18]])</f>
        <v>471797.73</v>
      </c>
      <c r="G146" s="25">
        <f>Таблица44672342[[#This Row],[Столбец6]]/Таблица44672342[[#This Row],[Столбец5]]*100</f>
        <v>109.96923969820081</v>
      </c>
      <c r="H146" s="25">
        <v>429027</v>
      </c>
      <c r="I146" s="25">
        <v>471797.73</v>
      </c>
      <c r="J146" s="25">
        <f>Таблица44672342[[#This Row],[Столбец9]]/Таблица44672342[[#This Row],[Столбец8]]*100</f>
        <v>109.96923969820081</v>
      </c>
      <c r="K146" s="26">
        <v>0</v>
      </c>
      <c r="L146" s="26">
        <v>0</v>
      </c>
      <c r="M146" s="37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0"/>
      <c r="U146" s="75"/>
      <c r="V146" s="91"/>
    </row>
    <row r="147" spans="1:32" ht="47.25" x14ac:dyDescent="0.25">
      <c r="A147" s="61" t="s">
        <v>219</v>
      </c>
      <c r="B147" s="53" t="s">
        <v>287</v>
      </c>
      <c r="C147" s="54"/>
      <c r="D147" s="54"/>
      <c r="E147" s="30">
        <f>SUM(Таблица44672342[[#This Row],[Столбец8]]+Таблица44672342[[#This Row],[Столбец11]]+Таблица44672342[[#This Row],[Столбец14]]+Таблица44672342[[#This Row],[Столбец17]])</f>
        <v>4764174.96</v>
      </c>
      <c r="F147" s="25">
        <f>Таблица44672342[[#This Row],[Столбец9]]+Таблица44672342[[#This Row],[Столбец12]]+Таблица44672342[[#This Row],[Столбец15]]+Таблица44672342[[#This Row],[Столбец18]]</f>
        <v>5654382.5</v>
      </c>
      <c r="G147" s="25">
        <f>Таблица44672342[[#This Row],[Столбец6]]/Таблица44672342[[#This Row],[Столбец5]]*100</f>
        <v>118.68545020857084</v>
      </c>
      <c r="H147" s="25">
        <v>4277645.5999999996</v>
      </c>
      <c r="I147" s="25">
        <v>4931334.4000000004</v>
      </c>
      <c r="J147" s="25">
        <f>Таблица44672342[[#This Row],[Столбец9]]/Таблица44672342[[#This Row],[Столбец8]]*100</f>
        <v>115.28150906190081</v>
      </c>
      <c r="K147" s="26">
        <v>486529.36</v>
      </c>
      <c r="L147" s="26">
        <f>299000+424048.1</f>
        <v>723048.1</v>
      </c>
      <c r="M147" s="26">
        <f>Таблица44672342[[#This Row],[Столбец12]]/Таблица44672342[[#This Row],[Столбец11]]*100</f>
        <v>148.61345675007155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0"/>
      <c r="U147" s="75"/>
      <c r="V147" s="91"/>
    </row>
    <row r="148" spans="1:32" ht="45" customHeight="1" x14ac:dyDescent="0.25">
      <c r="A148" s="61" t="s">
        <v>259</v>
      </c>
      <c r="B148" s="29" t="s">
        <v>257</v>
      </c>
      <c r="C148" s="27"/>
      <c r="D148" s="27"/>
      <c r="E148" s="30">
        <f>SUM(Таблица44672342[[#This Row],[Столбец8]]+Таблица44672342[[#This Row],[Столбец11]]+Таблица44672342[[#This Row],[Столбец14]]+Таблица44672342[[#This Row],[Столбец17]])</f>
        <v>977037.8</v>
      </c>
      <c r="F148" s="25">
        <f>SUM(Таблица44672342[[#This Row],[Столбец9]]+Таблица44672342[[#This Row],[Столбец12]]+Таблица44672342[[#This Row],[Столбец15]]+Таблица44672342[[#This Row],[Столбец18]])</f>
        <v>294900</v>
      </c>
      <c r="G148" s="25">
        <f>Таблица44672342[[#This Row],[Столбец6]]/Таблица44672342[[#This Row],[Столбец5]]*100</f>
        <v>30.183069682667341</v>
      </c>
      <c r="H148" s="26">
        <v>977037.8</v>
      </c>
      <c r="I148" s="26">
        <v>294900</v>
      </c>
      <c r="J148" s="25">
        <f>Таблица44672342[[#This Row],[Столбец9]]/Таблица44672342[[#This Row],[Столбец8]]*100</f>
        <v>30.183069682667341</v>
      </c>
      <c r="K148" s="26">
        <v>0</v>
      </c>
      <c r="L148" s="26"/>
      <c r="M148" s="26">
        <v>0</v>
      </c>
      <c r="N148" s="26">
        <v>0</v>
      </c>
      <c r="O148" s="26"/>
      <c r="P148" s="26">
        <v>0</v>
      </c>
      <c r="Q148" s="26">
        <v>0</v>
      </c>
      <c r="R148" s="26"/>
      <c r="S148" s="26">
        <v>0</v>
      </c>
      <c r="T148" s="20"/>
      <c r="U148" s="75"/>
      <c r="V148" s="91"/>
    </row>
    <row r="149" spans="1:32" ht="54.6" customHeight="1" x14ac:dyDescent="0.25">
      <c r="A149" s="38">
        <v>25</v>
      </c>
      <c r="B149" s="39" t="s">
        <v>315</v>
      </c>
      <c r="C149" s="35" t="s">
        <v>147</v>
      </c>
      <c r="D149" s="35" t="s">
        <v>28</v>
      </c>
      <c r="E149" s="36">
        <f>Таблица44672342[[#This Row],[Столбец8]]+Таблица44672342[[#This Row],[Столбец11]]+Таблица44672342[[#This Row],[Столбец14]]+Таблица44672342[[#This Row],[Столбец17]]</f>
        <v>145500</v>
      </c>
      <c r="F149" s="36">
        <f>Таблица44672342[[#This Row],[Столбец9]]+Таблица44672342[[#This Row],[Столбец12]]+Таблица44672342[[#This Row],[Столбец15]]+Таблица44672342[[#This Row],[Столбец18]]</f>
        <v>56158</v>
      </c>
      <c r="G149" s="40">
        <f>Таблица44672342[[#This Row],[Столбец6]]/Таблица44672342[[#This Row],[Столбец5]]*100</f>
        <v>38.596563573883166</v>
      </c>
      <c r="H149" s="40">
        <v>45500</v>
      </c>
      <c r="I149" s="40">
        <v>56158</v>
      </c>
      <c r="J149" s="40">
        <f>Таблица44672342[[#This Row],[Столбец9]]/Таблица44672342[[#This Row],[Столбец8]]*100</f>
        <v>123.42417582417582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100000</v>
      </c>
      <c r="R149" s="40">
        <v>0</v>
      </c>
      <c r="S149" s="41">
        <f>(Таблица44672342[[#This Row],[Столбец18]]/Таблица44672342[[#This Row],[Столбец17]])*100</f>
        <v>0</v>
      </c>
      <c r="T149" s="20" t="s">
        <v>278</v>
      </c>
      <c r="U149" s="75"/>
      <c r="V149" s="91"/>
    </row>
    <row r="150" spans="1:32" ht="71.25" customHeight="1" x14ac:dyDescent="0.25">
      <c r="A150" s="38" t="s">
        <v>176</v>
      </c>
      <c r="B150" s="39" t="s">
        <v>328</v>
      </c>
      <c r="C150" s="35" t="s">
        <v>178</v>
      </c>
      <c r="D150" s="35" t="s">
        <v>177</v>
      </c>
      <c r="E150" s="36">
        <f>Таблица44672342[[#This Row],[Столбец8]]+Таблица44672342[[#This Row],[Столбец11]]+Таблица44672342[[#This Row],[Столбец14]]+Таблица44672342[[#This Row],[Столбец17]]</f>
        <v>8152.95</v>
      </c>
      <c r="F150" s="36">
        <f>Таблица44672342[[#This Row],[Столбец9]]+Таблица44672342[[#This Row],[Столбец12]]+Таблица44672342[[#This Row],[Столбец15]]+Таблица44672342[[#This Row],[Столбец18]]</f>
        <v>6423.25</v>
      </c>
      <c r="G150" s="40">
        <f>Таблица44672342[[#This Row],[Столбец6]]/Таблица44672342[[#This Row],[Столбец5]]*100</f>
        <v>78.784366394985867</v>
      </c>
      <c r="H150" s="40">
        <v>8152.95</v>
      </c>
      <c r="I150" s="40">
        <v>6423.25</v>
      </c>
      <c r="J150" s="40">
        <f>Таблица44672342[[#This Row],[Столбец9]]/Таблица44672342[[#This Row],[Столбец8]]*100</f>
        <v>78.784366394985867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20"/>
      <c r="U150" s="75"/>
      <c r="V150" s="91"/>
    </row>
    <row r="151" spans="1:32" ht="65.25" customHeight="1" x14ac:dyDescent="0.25">
      <c r="A151" s="38" t="s">
        <v>181</v>
      </c>
      <c r="B151" s="39" t="s">
        <v>180</v>
      </c>
      <c r="C151" s="35" t="s">
        <v>184</v>
      </c>
      <c r="D151" s="35" t="s">
        <v>24</v>
      </c>
      <c r="E151" s="36">
        <f>Таблица44672342[[#This Row],[Столбец8]]+Таблица44672342[[#This Row],[Столбец11]]+Таблица44672342[[#This Row],[Столбец14]]+Таблица44672342[[#This Row],[Столбец17]]</f>
        <v>100000</v>
      </c>
      <c r="F151" s="36">
        <f>Таблица44672342[[#This Row],[Столбец9]]+Таблица44672342[[#This Row],[Столбец12]]+Таблица44672342[[#This Row],[Столбец15]]+Таблица44672342[[#This Row],[Столбец18]]</f>
        <v>43000</v>
      </c>
      <c r="G151" s="40">
        <f>Таблица44672342[[#This Row],[Столбец6]]/Таблица44672342[[#This Row],[Столбец5]]*100</f>
        <v>43</v>
      </c>
      <c r="H151" s="40">
        <v>100000</v>
      </c>
      <c r="I151" s="40">
        <v>43000</v>
      </c>
      <c r="J151" s="40">
        <f>Таблица44672342[[#This Row],[Столбец9]]/Таблица44672342[[#This Row],[Столбец8]]*100</f>
        <v>43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20" t="s">
        <v>276</v>
      </c>
      <c r="U151" s="75"/>
      <c r="V151" s="91"/>
    </row>
    <row r="152" spans="1:32" ht="74.25" customHeight="1" x14ac:dyDescent="0.25">
      <c r="A152" s="38" t="s">
        <v>182</v>
      </c>
      <c r="B152" s="39" t="s">
        <v>233</v>
      </c>
      <c r="C152" s="35" t="s">
        <v>234</v>
      </c>
      <c r="D152" s="35" t="s">
        <v>15</v>
      </c>
      <c r="E152" s="36">
        <f>Таблица44672342[[#This Row],[Столбец8]]+Таблица44672342[[#This Row],[Столбец11]]+Таблица44672342[[#This Row],[Столбец14]]+Таблица44672342[[#This Row],[Столбец17]]</f>
        <v>0</v>
      </c>
      <c r="F152" s="36">
        <f>Таблица44672342[[#This Row],[Столбец9]]+Таблица44672342[[#This Row],[Столбец12]]+Таблица44672342[[#This Row],[Столбец15]]+Таблица44672342[[#This Row],[Столбец18]]</f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20" t="s">
        <v>284</v>
      </c>
      <c r="U152" s="75"/>
      <c r="V152" s="91"/>
    </row>
    <row r="153" spans="1:32" ht="74.25" customHeight="1" x14ac:dyDescent="0.25">
      <c r="A153" s="38" t="s">
        <v>183</v>
      </c>
      <c r="B153" s="39" t="s">
        <v>250</v>
      </c>
      <c r="C153" s="35" t="s">
        <v>252</v>
      </c>
      <c r="D153" s="35" t="s">
        <v>251</v>
      </c>
      <c r="E153" s="36">
        <f>Таблица44672342[[#This Row],[Столбец8]]+Таблица44672342[[#This Row],[Столбец11]]+Таблица44672342[[#This Row],[Столбец14]]+Таблица44672342[[#This Row],[Столбец17]]</f>
        <v>243456.6</v>
      </c>
      <c r="F153" s="36">
        <f>Таблица44672342[[#This Row],[Столбец9]]+Таблица44672342[[#This Row],[Столбец12]]+Таблица44672342[[#This Row],[Столбец15]]+Таблица44672342[[#This Row],[Столбец18]]</f>
        <v>109569</v>
      </c>
      <c r="G153" s="40">
        <f>Таблица44672342[[#This Row],[Столбец6]]/Таблица44672342[[#This Row],[Столбец5]]*100</f>
        <v>45.005557458701055</v>
      </c>
      <c r="H153" s="40">
        <v>243456.6</v>
      </c>
      <c r="I153" s="40">
        <v>109569</v>
      </c>
      <c r="J153" s="40">
        <f>Таблица44672342[[#This Row],[Столбец9]]/Таблица44672342[[#This Row],[Столбец8]]*100</f>
        <v>45.005557458701055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20" t="s">
        <v>279</v>
      </c>
      <c r="U153" s="75"/>
      <c r="V153" s="91"/>
    </row>
    <row r="154" spans="1:32" ht="65.25" customHeight="1" x14ac:dyDescent="0.25">
      <c r="A154" s="38" t="s">
        <v>245</v>
      </c>
      <c r="B154" s="39" t="s">
        <v>247</v>
      </c>
      <c r="C154" s="35" t="s">
        <v>249</v>
      </c>
      <c r="D154" s="35" t="s">
        <v>248</v>
      </c>
      <c r="E154" s="36">
        <f>Таблица44672342[[#This Row],[Столбец8]]+Таблица44672342[[#This Row],[Столбец11]]+Таблица44672342[[#This Row],[Столбец14]]+Таблица44672342[[#This Row],[Столбец17]]</f>
        <v>730000</v>
      </c>
      <c r="F154" s="36">
        <f>Таблица44672342[[#This Row],[Столбец9]]+Таблица44672342[[#This Row],[Столбец12]]+Таблица44672342[[#This Row],[Столбец15]]+Таблица44672342[[#This Row],[Столбец18]]</f>
        <v>0</v>
      </c>
      <c r="G154" s="40">
        <f>Таблица44672342[[#This Row],[Столбец6]]/Таблица44672342[[#This Row],[Столбец5]]*100</f>
        <v>0</v>
      </c>
      <c r="H154" s="40">
        <v>100000</v>
      </c>
      <c r="I154" s="40">
        <v>0</v>
      </c>
      <c r="J154" s="40">
        <v>0</v>
      </c>
      <c r="K154" s="40">
        <v>230000</v>
      </c>
      <c r="L154" s="40">
        <v>0</v>
      </c>
      <c r="M154" s="40">
        <f>Таблица44672342[[#This Row],[Столбец12]]/Таблица44672342[[#This Row],[Столбец11]]*100</f>
        <v>0</v>
      </c>
      <c r="N154" s="40">
        <v>0</v>
      </c>
      <c r="O154" s="40">
        <v>0</v>
      </c>
      <c r="P154" s="40">
        <v>0</v>
      </c>
      <c r="Q154" s="40">
        <v>400000</v>
      </c>
      <c r="R154" s="40">
        <v>0</v>
      </c>
      <c r="S154" s="40">
        <f>Таблица44672342[[#This Row],[Столбец18]]/Таблица44672342[[#This Row],[Столбец17]]*100</f>
        <v>0</v>
      </c>
      <c r="T154" s="20"/>
      <c r="U154" s="75"/>
      <c r="V154" s="91"/>
    </row>
    <row r="155" spans="1:32" ht="98.45" customHeight="1" x14ac:dyDescent="0.25">
      <c r="A155" s="38" t="s">
        <v>246</v>
      </c>
      <c r="B155" s="55" t="s">
        <v>301</v>
      </c>
      <c r="C155" s="50" t="s">
        <v>302</v>
      </c>
      <c r="D155" s="50" t="s">
        <v>300</v>
      </c>
      <c r="E155" s="36">
        <f>Таблица44672342[[#This Row],[Столбец8]]+Таблица44672342[[#This Row],[Столбец11]]+Таблица44672342[[#This Row],[Столбец14]]+Таблица44672342[[#This Row],[Столбец17]]</f>
        <v>4763.05</v>
      </c>
      <c r="F155" s="36">
        <f>Таблица44672342[[#This Row],[Столбец9]]+Таблица44672342[[#This Row],[Столбец12]]+Таблица44672342[[#This Row],[Столбец15]]+Таблица44672342[[#This Row],[Столбец18]]</f>
        <v>3179.25</v>
      </c>
      <c r="G155" s="51">
        <f>Таблица44672342[[#This Row],[Столбец6]]/Таблица44672342[[#This Row],[Столбец5]]*100</f>
        <v>66.748197058607403</v>
      </c>
      <c r="H155" s="51">
        <v>4451.25</v>
      </c>
      <c r="I155" s="51">
        <v>3023.35</v>
      </c>
      <c r="J155" s="51">
        <f>Таблица44672342[[#This Row],[Столбец9]]/Таблица44672342[[#This Row],[Столбец8]]*100</f>
        <v>67.921370401572588</v>
      </c>
      <c r="K155" s="51">
        <v>311.8</v>
      </c>
      <c r="L155" s="51">
        <v>155.9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20"/>
      <c r="U155" s="77"/>
      <c r="V155" s="91"/>
    </row>
    <row r="156" spans="1:32" s="11" customFormat="1" ht="78.599999999999994" customHeight="1" x14ac:dyDescent="0.25">
      <c r="A156" s="88" t="s">
        <v>312</v>
      </c>
      <c r="B156" s="83" t="s">
        <v>314</v>
      </c>
      <c r="C156" s="84" t="s">
        <v>313</v>
      </c>
      <c r="D156" s="50" t="s">
        <v>242</v>
      </c>
      <c r="E156" s="82">
        <f>Таблица44672342[[#This Row],[Столбец8]]+Таблица44672342[[#This Row],[Столбец11]]+Таблица44672342[[#This Row],[Столбец14]]+Таблица44672342[[#This Row],[Столбец17]]</f>
        <v>2655108.9</v>
      </c>
      <c r="F156" s="82">
        <f>Таблица44672342[[#This Row],[Столбец9]]+Таблица44672342[[#This Row],[Столбец12]]+Таблица44672342[[#This Row],[Столбец15]]+Таблица44672342[[#This Row],[Столбец18]]</f>
        <v>2655108.9</v>
      </c>
      <c r="G156" s="85">
        <f>Таблица44672342[[#This Row],[Столбец6]]/Таблица44672342[[#This Row],[Столбец5]]*100</f>
        <v>100</v>
      </c>
      <c r="H156" s="85">
        <v>2000000</v>
      </c>
      <c r="I156" s="85">
        <v>2000000</v>
      </c>
      <c r="J156" s="85">
        <f>Таблица44672342[[#This Row],[Столбец9]]/Таблица44672342[[#This Row],[Столбец8]]*100</f>
        <v>100</v>
      </c>
      <c r="K156" s="85">
        <v>655108.9</v>
      </c>
      <c r="L156" s="85">
        <v>655108.9</v>
      </c>
      <c r="M156" s="85">
        <f>Таблица44672342[[#This Row],[Столбец12]]/Таблица44672342[[#This Row],[Столбец11]]*100</f>
        <v>100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85">
        <v>0</v>
      </c>
      <c r="T156" s="87"/>
      <c r="U156" s="86"/>
      <c r="V156" s="91"/>
    </row>
    <row r="157" spans="1:32" ht="31.9" customHeight="1" x14ac:dyDescent="0.25">
      <c r="A157" s="104"/>
      <c r="B157" s="105" t="s">
        <v>220</v>
      </c>
      <c r="C157" s="106"/>
      <c r="D157" s="107"/>
      <c r="E157" s="108">
        <f>E154+E153+E152+E151+E150+E149+E141+E133+E123+E122+E105+E88+E80+E79+E73+E66+E51+E50+E43+E39+E35+E34+E28+E16+E5+E15+E74+E97+E49+E155+E72+E156</f>
        <v>268397029.05000004</v>
      </c>
      <c r="F157" s="108">
        <f>F154+F153+F152+F151+F150+F149+F141+F133+F123+F122+F105+F88+F80+F79+F73+F66+F51+F50+F43+F39+F35+F34+F28+F16+F5+F15+F74+F97+F49+F155+F72+F156</f>
        <v>236990779.57523</v>
      </c>
      <c r="G157" s="108">
        <f>Таблица44672342[[#Totals],[Столбец6]]/Таблица44672342[[#Totals],[Столбец5]]*100</f>
        <v>88.2985852764714</v>
      </c>
      <c r="H157" s="108">
        <f>H154+H153+H152+H151+H150+H149+H141+H133+H123+H122+H105+H88+H80+H79+H73+H66+H51+H50+H43+H39+H35+H34+H28+H16+H5+H15+H74+H97+H49+H155+H72+H156</f>
        <v>173416615.20999998</v>
      </c>
      <c r="I157" s="108">
        <f>I154+I153+I152+I151+I150+I149+I141+I133+I123+I122+I105+I88+I80+I79+I73+I66+I51+I50+I43+I39+I35+I34+I28+I16+I5+I15+I74+I97+I49+I155+I72+I156</f>
        <v>150356172.33423001</v>
      </c>
      <c r="J157" s="108">
        <f>Таблица44672342[[#Totals],[Столбец9]]/Таблица44672342[[#Totals],[Столбец8]]*100</f>
        <v>86.702287524269366</v>
      </c>
      <c r="K157" s="108">
        <f>K154+K153+K152+K151+K150+K149+K141+K133+K123+K122+K105+K88+K80+K79+K73+K66+K51+K50+K43+K39+K35+K34+K28+K16+K5+K15+K74+K97+K49+K155+K72+K156</f>
        <v>29675347.870000005</v>
      </c>
      <c r="L157" s="108">
        <f>L154+L153+L152+L151+L150+L149+L141+L133+L123+L122+L105+L88+L80+L79+L73+L66+L51+L50+L43+L39+L35+L34+L28+L16+L5+L15+L74+L97+L49+L155+L72+L156</f>
        <v>30138331.199999999</v>
      </c>
      <c r="M157" s="108">
        <f>Таблица44672342[[#Totals],[Столбец12]]/Таблица44672342[[#Totals],[Столбец11]]*100</f>
        <v>101.56016142431827</v>
      </c>
      <c r="N157" s="108">
        <f>N154+N153+N152+N151+N150+N149+N141+N133+N123+N122+N105+N88+N80+N79+N73+N66+N51+N50+N43+N39+N35+N34+N28+N16+N5+N15+N74+N97+N49+N155+N72</f>
        <v>3346340.5999999996</v>
      </c>
      <c r="O157" s="108">
        <f>O154+O153+O152+O151+O150+O149+O141+O133+O123+O122+O105+O88+O80+O79+O73+O66+O51+O50+O43+O39+O35+O34+O28+O16+O5+O15+O74+O97+O49+O155+O72</f>
        <v>2786383.4899999998</v>
      </c>
      <c r="P157" s="108">
        <f>Таблица44672342[[#Totals],[Столбец15]]/Таблица44672342[[#Totals],[Столбец14]]*100</f>
        <v>83.266583503185544</v>
      </c>
      <c r="Q157" s="108">
        <f>Q154+Q153+Q152+Q151+Q150+Q149+Q141+Q133+Q123+Q122+Q105+Q88+Q80+Q79+Q73+Q66+Q51+Q50+Q43+Q39+Q35+Q34+Q28+Q16+Q5+Q15+Q74+Q97+Q49+Q155+Q72</f>
        <v>61958725.370000012</v>
      </c>
      <c r="R157" s="108">
        <f>R154+R153+R152+R151+R150+R149+R141+R133+R123+R122+R105+R88+R80+R79+R73+R66+R51+R50+R43+R39+R35+R34+R28+R16+R5+R15+R74+R97+R49+R155+R72</f>
        <v>53709892.550999999</v>
      </c>
      <c r="S157" s="108">
        <f>Таблица44672342[[#Totals],[Столбец18]]/Таблица44672342[[#Totals],[Столбец17]]*100</f>
        <v>86.686567921240609</v>
      </c>
      <c r="T157" s="108" t="e">
        <f>T154+T153+T152+T151+T150+T149+T141+T133+T123+T122+T105+T88+T80+T79+T73+T66+T51+T50+T43+T39+T35+T34+T28+T16+T5+T15+T74+T97+T49+T155+T72</f>
        <v>#VALUE!</v>
      </c>
      <c r="U157" s="106">
        <f>U154+U153+U152+U151+U150+U149+U141+U133+U123+U122+U105+U88+U80+U79+U73+U66+U51+U50+U43+U39+U35+U34+U28+U16+U5+U15+U74+U97+U49+U155+U72</f>
        <v>0</v>
      </c>
      <c r="V157" s="106"/>
    </row>
    <row r="158" spans="1:32" ht="60" hidden="1" customHeight="1" x14ac:dyDescent="0.3">
      <c r="A158" s="71"/>
      <c r="B158" s="72"/>
      <c r="C158" s="73"/>
      <c r="D158" s="73"/>
      <c r="E158" s="89">
        <f>Таблица44672342[[#Totals],[Столбец5]]/1000000</f>
        <v>268.39702905000001</v>
      </c>
      <c r="F158" s="89">
        <f>Таблица44672342[[#Totals],[Столбец6]]/1000000</f>
        <v>236.99077957522999</v>
      </c>
      <c r="G158" s="89"/>
      <c r="H158" s="89">
        <f>Таблица44672342[[#Totals],[Столбец8]]/1000000</f>
        <v>173.41661520999997</v>
      </c>
      <c r="I158" s="89">
        <f>Таблица44672342[[#Totals],[Столбец9]]/1000000</f>
        <v>150.35617233423</v>
      </c>
      <c r="J158" s="89"/>
      <c r="K158" s="89">
        <f>Таблица44672342[[#Totals],[Столбец11]]/1000000</f>
        <v>29.675347870000003</v>
      </c>
      <c r="L158" s="89">
        <f>Таблица44672342[[#Totals],[Столбец12]]/1000000</f>
        <v>30.1383312</v>
      </c>
      <c r="M158" s="89"/>
      <c r="N158" s="89">
        <f>Таблица44672342[[#Totals],[Столбец14]]/1000000</f>
        <v>3.3463405999999996</v>
      </c>
      <c r="O158" s="89">
        <f>Таблица44672342[[#Totals],[Столбец15]]/1000000</f>
        <v>2.78638349</v>
      </c>
      <c r="P158" s="89"/>
      <c r="Q158" s="89">
        <f>Таблица44672342[[#Totals],[Столбец17]]/1000000</f>
        <v>61.95872537000001</v>
      </c>
      <c r="R158" s="89">
        <f>Таблица44672342[[#Totals],[Столбец18]]/1000000</f>
        <v>53.709892550999996</v>
      </c>
      <c r="S158" s="73"/>
    </row>
    <row r="159" spans="1:32" ht="93" hidden="1" customHeight="1" x14ac:dyDescent="0.25">
      <c r="A159" s="2"/>
      <c r="B159" s="15"/>
      <c r="C159" s="1"/>
      <c r="D159" s="1"/>
      <c r="E159" s="90"/>
      <c r="F159" s="3"/>
      <c r="G159" s="1"/>
      <c r="H159" s="19">
        <f>H158/E158*100</f>
        <v>64.611972727050556</v>
      </c>
      <c r="I159" s="19">
        <f>I158/F158*100</f>
        <v>63.443891194299042</v>
      </c>
      <c r="J159" s="19"/>
      <c r="K159" s="19">
        <f>K158/E158*100</f>
        <v>11.056511309024865</v>
      </c>
      <c r="L159" s="19">
        <f>L158/F158*100</f>
        <v>12.717090198200278</v>
      </c>
      <c r="M159" s="19"/>
      <c r="N159" s="19">
        <f>N158/E158*100</f>
        <v>1.2467874968081727</v>
      </c>
      <c r="O159" s="19">
        <f>O158/F158*100</f>
        <v>1.175734977957442</v>
      </c>
      <c r="P159" s="19"/>
      <c r="Q159" s="19">
        <f>Q158/E158*100</f>
        <v>23.084728467116395</v>
      </c>
      <c r="R159" s="19">
        <f>R158/F158*100</f>
        <v>22.663283629543237</v>
      </c>
      <c r="S159" s="1"/>
    </row>
    <row r="160" spans="1:32" ht="42.6" customHeight="1" x14ac:dyDescent="0.25">
      <c r="A160" s="2"/>
      <c r="B160" s="15"/>
      <c r="C160" s="1"/>
      <c r="D160" s="1"/>
      <c r="E160" s="3"/>
      <c r="F160" s="3"/>
      <c r="G160" s="14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U160" s="11"/>
    </row>
    <row r="161" spans="1:21" ht="91.5" customHeight="1" x14ac:dyDescent="0.25">
      <c r="A161" s="2"/>
      <c r="B161" s="15"/>
      <c r="C161" s="1"/>
      <c r="D161" s="1"/>
      <c r="E161" s="19"/>
      <c r="F161" s="3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21" ht="91.5" customHeight="1" x14ac:dyDescent="0.25">
      <c r="A162" s="2"/>
      <c r="B162" s="15"/>
      <c r="C162" s="1"/>
      <c r="D162" s="1"/>
      <c r="E162" s="3"/>
      <c r="F162" s="3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21" s="11" customFormat="1" ht="99.6" customHeight="1" x14ac:dyDescent="0.25">
      <c r="A163" s="2"/>
      <c r="B163" s="15"/>
      <c r="C163" s="1"/>
      <c r="D163" s="1"/>
      <c r="E163" s="3"/>
      <c r="F163" s="3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6"/>
      <c r="U163"/>
    </row>
    <row r="164" spans="1:21" ht="84" customHeight="1" x14ac:dyDescent="0.25">
      <c r="A164" s="2"/>
      <c r="B164" s="15"/>
      <c r="C164" s="1"/>
      <c r="D164" s="1"/>
      <c r="E164" s="3"/>
      <c r="F164" s="3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21" ht="100.9" customHeight="1" x14ac:dyDescent="0.25"/>
    <row r="166" spans="1:21" ht="26.45" customHeight="1" x14ac:dyDescent="0.25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70" spans="1:21" x14ac:dyDescent="0.25">
      <c r="E170" s="13"/>
    </row>
    <row r="174" spans="1:21" ht="16.149999999999999" customHeight="1" x14ac:dyDescent="0.25"/>
  </sheetData>
  <mergeCells count="10">
    <mergeCell ref="Q3:S3"/>
    <mergeCell ref="A1:S1"/>
    <mergeCell ref="A3:A4"/>
    <mergeCell ref="B3:B4"/>
    <mergeCell ref="C3:C4"/>
    <mergeCell ref="D3:D4"/>
    <mergeCell ref="E3:G3"/>
    <mergeCell ref="H3:J3"/>
    <mergeCell ref="K3:M3"/>
    <mergeCell ref="N3:P3"/>
  </mergeCells>
  <conditionalFormatting sqref="B3:E3 E4:S4 H3 K3 N3 Q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19685039370078741" top="0.35433070866141736" bottom="0.35433070866141736" header="0.11811023622047245" footer="0.11811023622047245"/>
  <pageSetup paperSize="9" scale="40" fitToHeight="0" orientation="landscape" r:id="rId1"/>
  <rowBreaks count="7" manualBreakCount="7">
    <brk id="25" max="20" man="1"/>
    <brk id="43" max="20" man="1"/>
    <brk id="63" max="20" man="1"/>
    <brk id="79" max="20" man="1"/>
    <brk id="100" max="20" man="1"/>
    <brk id="121" max="20" man="1"/>
    <brk id="140" max="20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3 кв 2018</vt:lpstr>
      <vt:lpstr>'за 3 кв 2018'!Заголовки_для_печати</vt:lpstr>
      <vt:lpstr>'за 3 кв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</dc:creator>
  <cp:lastModifiedBy>Ёлкина Светлана Анатольевна</cp:lastModifiedBy>
  <cp:lastPrinted>2018-12-26T10:39:49Z</cp:lastPrinted>
  <dcterms:created xsi:type="dcterms:W3CDTF">2014-07-11T11:38:07Z</dcterms:created>
  <dcterms:modified xsi:type="dcterms:W3CDTF">2019-03-14T12:31:42Z</dcterms:modified>
</cp:coreProperties>
</file>